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niagk\Desktop\"/>
    </mc:Choice>
  </mc:AlternateContent>
  <bookViews>
    <workbookView xWindow="0" yWindow="0" windowWidth="12270" windowHeight="5190" tabRatio="851"/>
  </bookViews>
  <sheets>
    <sheet name="umowa o pracę - brutto" sheetId="7" r:id="rId1"/>
    <sheet name="wykresy" sheetId="10" state="hidden" r:id="rId2"/>
    <sheet name="umowa o pracę - netto" sheetId="9" r:id="rId3"/>
    <sheet name="stawki wypadkowe" sheetId="16" r:id="rId4"/>
    <sheet name="zmienne" sheetId="8" state="hidden" r:id="rId5"/>
  </sheets>
  <definedNames>
    <definedName name="brak_e_r" localSheetId="2">'umowa o pracę - netto'!$U$5</definedName>
    <definedName name="brak_e_r">'umowa o pracę - brutto'!$T$6</definedName>
    <definedName name="brutto">'umowa o pracę - brutto'!$O$9</definedName>
    <definedName name="chorob" localSheetId="2">'umowa o pracę - netto'!$K$18</definedName>
    <definedName name="chorob">'umowa o pracę - brutto'!$K$19</definedName>
    <definedName name="emeryt" localSheetId="2">'umowa o pracę - netto'!$I$18</definedName>
    <definedName name="emeryt">'umowa o pracę - brutto'!$I$19</definedName>
    <definedName name="F_G_S_P" localSheetId="2">'umowa o pracę - netto'!$AL$18</definedName>
    <definedName name="F_G_S_P">'umowa o pracę - brutto'!$X$19</definedName>
    <definedName name="F_P" localSheetId="2">'umowa o pracę - netto'!$AK$18</definedName>
    <definedName name="F_P">'umowa o pracę - brutto'!$W$19</definedName>
    <definedName name="I_proc">zmienne!$C$1</definedName>
    <definedName name="I_prog">zmienne!$A$1</definedName>
    <definedName name="II_proc">zmienne!$C$2</definedName>
    <definedName name="II_prog">zmienne!$A$1</definedName>
    <definedName name="K_U_P">'umowa o pracę - brutto'!$Q$10</definedName>
    <definedName name="kwota_wolna" localSheetId="2">'umowa o pracę - netto'!$U$4</definedName>
    <definedName name="kwota_wolna">'umowa o pracę - brutto'!$T$5</definedName>
    <definedName name="MWZP">zmienne!$C$8</definedName>
    <definedName name="MWZPN">zmienne!$D$8</definedName>
    <definedName name="netto" localSheetId="2">'umowa o pracę - netto'!$Q$8</definedName>
    <definedName name="netto">'umowa o pracę - netto'!$Q$8</definedName>
    <definedName name="_xlnm.Print_Area" localSheetId="0">'umowa o pracę - brutto'!$D$1:$Y$38</definedName>
    <definedName name="_xlnm.Print_Area" localSheetId="2">'umowa o pracę - netto'!$C$2:$X$37</definedName>
    <definedName name="rent" localSheetId="2">'umowa o pracę - netto'!$J$18</definedName>
    <definedName name="rent">'umowa o pracę - brutto'!$J$19</definedName>
    <definedName name="u_wypadk" localSheetId="2">'umowa o pracę - netto'!$Q$10</definedName>
    <definedName name="u_wypadk">'umowa o pracę - brutto'!$Q$11</definedName>
    <definedName name="zdrow" localSheetId="2">'umowa o pracę - netto'!$Y$18</definedName>
    <definedName name="zdrow">'umowa o pracę - brutto'!$M$19</definedName>
    <definedName name="zdrow_z_podatku">zmienne!$A$8</definedName>
  </definedNames>
  <calcPr calcId="162913"/>
</workbook>
</file>

<file path=xl/calcChain.xml><?xml version="1.0" encoding="utf-8"?>
<calcChain xmlns="http://schemas.openxmlformats.org/spreadsheetml/2006/main">
  <c r="E21" i="7" l="1"/>
  <c r="E22" i="7"/>
  <c r="E23" i="7"/>
  <c r="E24" i="7"/>
  <c r="E25" i="7"/>
  <c r="E26" i="7"/>
  <c r="E27" i="7"/>
  <c r="E28" i="7"/>
  <c r="E29" i="7"/>
  <c r="E30" i="7"/>
  <c r="E31" i="7"/>
  <c r="E20" i="7"/>
  <c r="U4" i="9" l="1"/>
  <c r="U5" i="9"/>
  <c r="T8" i="9"/>
  <c r="X20" i="7" l="1"/>
  <c r="W20" i="7"/>
  <c r="U20" i="7"/>
  <c r="I20" i="7"/>
  <c r="C20" i="7" l="1"/>
  <c r="Q10" i="9"/>
  <c r="M30" i="9" l="1"/>
  <c r="N29" i="9"/>
  <c r="M28" i="9"/>
  <c r="N27" i="9"/>
  <c r="M26" i="9"/>
  <c r="N25" i="9"/>
  <c r="M24" i="9"/>
  <c r="N23" i="9"/>
  <c r="M22" i="9"/>
  <c r="N21" i="9"/>
  <c r="M20" i="9"/>
  <c r="N19" i="9"/>
  <c r="AI18" i="9"/>
  <c r="U19" i="7"/>
  <c r="Q19" i="9" l="1"/>
  <c r="M19" i="9"/>
  <c r="M21" i="9"/>
  <c r="M23" i="9"/>
  <c r="M25" i="9"/>
  <c r="M27" i="9"/>
  <c r="M29" i="9"/>
  <c r="Y8" i="9"/>
  <c r="N20" i="9"/>
  <c r="N22" i="9"/>
  <c r="N24" i="9"/>
  <c r="N26" i="9"/>
  <c r="N28" i="9"/>
  <c r="N30" i="9"/>
  <c r="AK19" i="9" l="1"/>
  <c r="AL19" i="9"/>
  <c r="K19" i="9"/>
  <c r="AI19" i="9"/>
  <c r="AA19" i="9"/>
  <c r="N31" i="9"/>
  <c r="F20" i="7"/>
  <c r="J20" i="7"/>
  <c r="K20" i="7"/>
  <c r="T20" i="7" l="1"/>
  <c r="L20" i="7"/>
  <c r="M20" i="7" s="1"/>
  <c r="S20" i="7"/>
  <c r="N20" i="7" l="1"/>
  <c r="P20" i="7" s="1"/>
  <c r="Q20" i="7" s="1"/>
  <c r="V20" i="7"/>
  <c r="O20" i="7"/>
  <c r="Y20" i="7"/>
  <c r="H20" i="7" l="1"/>
  <c r="R20" i="7" l="1"/>
  <c r="G20" i="7"/>
  <c r="O19" i="9"/>
  <c r="J19" i="9" l="1"/>
  <c r="I19" i="9"/>
  <c r="AG19" i="9" s="1"/>
  <c r="L19" i="9" l="1"/>
  <c r="AH19" i="9"/>
  <c r="AJ19" i="9" s="1"/>
  <c r="R19" i="9" s="1"/>
  <c r="Y19" i="9" l="1"/>
  <c r="Z19" i="9"/>
  <c r="AE19" i="9" s="1"/>
  <c r="AC19" i="9"/>
  <c r="AC20" i="9"/>
  <c r="AM19" i="9"/>
  <c r="AD19" i="9" l="1"/>
  <c r="AB19" i="9"/>
  <c r="AD20" i="9"/>
  <c r="AB20" i="9"/>
  <c r="P19" i="9"/>
  <c r="AF19" i="9"/>
  <c r="Q20" i="9" l="1"/>
  <c r="AI20" i="9" s="1"/>
  <c r="AA20" i="9" l="1"/>
  <c r="O20" i="9"/>
  <c r="AK20" i="9"/>
  <c r="AL20" i="9"/>
  <c r="K20" i="9"/>
  <c r="J20" i="9"/>
  <c r="AH20" i="9" s="1"/>
  <c r="I20" i="9"/>
  <c r="AG20" i="9" s="1"/>
  <c r="AM20" i="9" l="1"/>
  <c r="L20" i="9"/>
  <c r="AJ20" i="9"/>
  <c r="R20" i="9" s="1"/>
  <c r="AC21" i="9" l="1"/>
  <c r="AD21" i="9" s="1"/>
  <c r="Y20" i="9"/>
  <c r="Z20" i="9"/>
  <c r="AE20" i="9" s="1"/>
  <c r="AB21" i="9" l="1"/>
  <c r="Q21" i="9" s="1"/>
  <c r="AI21" i="9" s="1"/>
  <c r="P20" i="9"/>
  <c r="AF20" i="9"/>
  <c r="AA21" i="9" l="1"/>
  <c r="AK21" i="9"/>
  <c r="O21" i="9"/>
  <c r="J21" i="9" s="1"/>
  <c r="AH21" i="9" s="1"/>
  <c r="AL21" i="9"/>
  <c r="K21" i="9"/>
  <c r="I21" i="9" l="1"/>
  <c r="L21" i="9" s="1"/>
  <c r="AG21" i="9" l="1"/>
  <c r="AC22" i="9"/>
  <c r="Z21" i="9"/>
  <c r="AE21" i="9" s="1"/>
  <c r="Y21" i="9"/>
  <c r="AJ21" i="9"/>
  <c r="R21" i="9" s="1"/>
  <c r="AM21" i="9"/>
  <c r="AD22" i="9" l="1"/>
  <c r="AB22" i="9"/>
  <c r="AF21" i="9"/>
  <c r="P21" i="9"/>
  <c r="Q22" i="9" l="1"/>
  <c r="AL22" i="9" s="1"/>
  <c r="AA22" i="9" l="1"/>
  <c r="O22" i="9"/>
  <c r="I22" i="9" s="1"/>
  <c r="AI22" i="9"/>
  <c r="K22" i="9"/>
  <c r="AK22" i="9"/>
  <c r="J22" i="9"/>
  <c r="AH22" i="9" s="1"/>
  <c r="AG22" i="9" l="1"/>
  <c r="L22" i="9"/>
  <c r="AC23" i="9" l="1"/>
  <c r="Z22" i="9"/>
  <c r="Y22" i="9"/>
  <c r="AM22" i="9"/>
  <c r="AJ22" i="9"/>
  <c r="R22" i="9" s="1"/>
  <c r="AE22" i="9" l="1"/>
  <c r="P22" i="9" s="1"/>
  <c r="AD23" i="9"/>
  <c r="AB23" i="9"/>
  <c r="Q23" i="9" l="1"/>
  <c r="AK23" i="9" s="1"/>
  <c r="AF22" i="9"/>
  <c r="AI23" i="9" l="1"/>
  <c r="K23" i="9"/>
  <c r="AL23" i="9"/>
  <c r="AA23" i="9"/>
  <c r="O23" i="9"/>
  <c r="J23" i="9" s="1"/>
  <c r="AH23" i="9" s="1"/>
  <c r="I23" i="9"/>
  <c r="AG23" i="9" l="1"/>
  <c r="L23" i="9"/>
  <c r="Y23" i="9" l="1"/>
  <c r="Z23" i="9"/>
  <c r="AE23" i="9" s="1"/>
  <c r="AC24" i="9"/>
  <c r="AM23" i="9"/>
  <c r="AJ23" i="9"/>
  <c r="R23" i="9" s="1"/>
  <c r="P23" i="9" l="1"/>
  <c r="AD24" i="9"/>
  <c r="AB24" i="9"/>
  <c r="AF23" i="9"/>
  <c r="Q24" i="9" l="1"/>
  <c r="AA24" i="9" s="1"/>
  <c r="O24" i="9" l="1"/>
  <c r="AK24" i="9"/>
  <c r="AL24" i="9"/>
  <c r="AI24" i="9"/>
  <c r="K24" i="9"/>
  <c r="J24" i="9"/>
  <c r="AH24" i="9" s="1"/>
  <c r="I24" i="9"/>
  <c r="L24" i="9" l="1"/>
  <c r="AG24" i="9"/>
  <c r="AJ24" i="9" l="1"/>
  <c r="R24" i="9" s="1"/>
  <c r="AM24" i="9"/>
  <c r="Z24" i="9"/>
  <c r="AE24" i="9" s="1"/>
  <c r="Y24" i="9"/>
  <c r="AC25" i="9"/>
  <c r="P24" i="9" l="1"/>
  <c r="AD25" i="9"/>
  <c r="AB25" i="9"/>
  <c r="AF24" i="9"/>
  <c r="Q25" i="9" l="1"/>
  <c r="K25" i="9" s="1"/>
  <c r="O25" i="9" l="1"/>
  <c r="AI25" i="9"/>
  <c r="AK25" i="9"/>
  <c r="AL25" i="9"/>
  <c r="AA25" i="9"/>
  <c r="I25" i="9"/>
  <c r="J25" i="9"/>
  <c r="AH25" i="9" s="1"/>
  <c r="L25" i="9" l="1"/>
  <c r="AG25" i="9"/>
  <c r="AM25" i="9" l="1"/>
  <c r="AJ25" i="9"/>
  <c r="R25" i="9" s="1"/>
  <c r="Y25" i="9"/>
  <c r="Z25" i="9"/>
  <c r="AE25" i="9" s="1"/>
  <c r="AC26" i="9"/>
  <c r="AF25" i="9" l="1"/>
  <c r="P25" i="9"/>
  <c r="AD26" i="9"/>
  <c r="Q26" i="9" s="1"/>
  <c r="AB26" i="9"/>
  <c r="AL26" i="9" l="1"/>
  <c r="AK26" i="9"/>
  <c r="AI26" i="9"/>
  <c r="K26" i="9"/>
  <c r="O26" i="9"/>
  <c r="AA26" i="9"/>
  <c r="J26" i="9" l="1"/>
  <c r="AH26" i="9" s="1"/>
  <c r="I26" i="9"/>
  <c r="L26" i="9" l="1"/>
  <c r="AG26" i="9"/>
  <c r="AM26" i="9" l="1"/>
  <c r="AJ26" i="9"/>
  <c r="R26" i="9" s="1"/>
  <c r="Y26" i="9"/>
  <c r="Z26" i="9"/>
  <c r="AE26" i="9" s="1"/>
  <c r="AC27" i="9"/>
  <c r="P26" i="9" l="1"/>
  <c r="AD27" i="9"/>
  <c r="Q27" i="9" s="1"/>
  <c r="AB27" i="9"/>
  <c r="AF26" i="9"/>
  <c r="AK27" i="9" l="1"/>
  <c r="AL27" i="9"/>
  <c r="K27" i="9"/>
  <c r="AI27" i="9"/>
  <c r="AA27" i="9"/>
  <c r="O27" i="9"/>
  <c r="I27" i="9" l="1"/>
  <c r="J27" i="9"/>
  <c r="AH27" i="9" s="1"/>
  <c r="AG27" i="9" l="1"/>
  <c r="L27" i="9"/>
  <c r="Y27" i="9" l="1"/>
  <c r="Z27" i="9"/>
  <c r="AC28" i="9"/>
  <c r="AJ27" i="9"/>
  <c r="R27" i="9" s="1"/>
  <c r="AM27" i="9"/>
  <c r="AE27" i="9" l="1"/>
  <c r="AF27" i="9" s="1"/>
  <c r="AD28" i="9"/>
  <c r="AB28" i="9"/>
  <c r="Q28" i="9" l="1"/>
  <c r="AI28" i="9" s="1"/>
  <c r="P27" i="9"/>
  <c r="AL28" i="9" l="1"/>
  <c r="AK28" i="9"/>
  <c r="O28" i="9"/>
  <c r="J28" i="9" s="1"/>
  <c r="AH28" i="9" s="1"/>
  <c r="K28" i="9"/>
  <c r="AA28" i="9"/>
  <c r="I28" i="9"/>
  <c r="L28" i="9" l="1"/>
  <c r="AG28" i="9"/>
  <c r="AJ28" i="9" l="1"/>
  <c r="R28" i="9" s="1"/>
  <c r="AM28" i="9"/>
  <c r="Y28" i="9"/>
  <c r="Z28" i="9"/>
  <c r="AE28" i="9" s="1"/>
  <c r="AC29" i="9"/>
  <c r="AF28" i="9" l="1"/>
  <c r="P28" i="9"/>
  <c r="AD29" i="9"/>
  <c r="AB29" i="9"/>
  <c r="Q29" i="9" l="1"/>
  <c r="K29" i="9" s="1"/>
  <c r="O29" i="9" l="1"/>
  <c r="AA29" i="9"/>
  <c r="AI29" i="9"/>
  <c r="AK29" i="9"/>
  <c r="AL29" i="9"/>
  <c r="I29" i="9"/>
  <c r="J29" i="9"/>
  <c r="W25" i="7"/>
  <c r="K25" i="7"/>
  <c r="U25" i="7"/>
  <c r="X25" i="7"/>
  <c r="C25" i="7"/>
  <c r="W22" i="7"/>
  <c r="U22" i="7"/>
  <c r="C22" i="7"/>
  <c r="X22" i="7"/>
  <c r="K22" i="7"/>
  <c r="U21" i="7"/>
  <c r="F27" i="7"/>
  <c r="F21" i="7"/>
  <c r="J21" i="7" s="1"/>
  <c r="T21" i="7" s="1"/>
  <c r="K21" i="7"/>
  <c r="X21" i="7"/>
  <c r="F26" i="7"/>
  <c r="F30" i="7"/>
  <c r="F25" i="7"/>
  <c r="W21" i="7"/>
  <c r="F22" i="7"/>
  <c r="J22" i="7" s="1"/>
  <c r="T22" i="7" s="1"/>
  <c r="O21" i="7"/>
  <c r="F28" i="7"/>
  <c r="I28" i="7" s="1"/>
  <c r="F29" i="7"/>
  <c r="I29" i="7" s="1"/>
  <c r="F24" i="7"/>
  <c r="F23" i="7"/>
  <c r="J23" i="7" s="1"/>
  <c r="T23" i="7" s="1"/>
  <c r="F31" i="7"/>
  <c r="I31" i="7" s="1"/>
  <c r="U23" i="7"/>
  <c r="X23" i="7"/>
  <c r="C23" i="7"/>
  <c r="W23" i="7"/>
  <c r="K23" i="7"/>
  <c r="U24" i="7"/>
  <c r="C24" i="7"/>
  <c r="X24" i="7"/>
  <c r="K24" i="7"/>
  <c r="W24" i="7"/>
  <c r="X31" i="7"/>
  <c r="K31" i="7"/>
  <c r="W31" i="7"/>
  <c r="U31" i="7"/>
  <c r="C31" i="7"/>
  <c r="W27" i="7"/>
  <c r="K27" i="7"/>
  <c r="U27" i="7"/>
  <c r="X27" i="7"/>
  <c r="C27" i="7"/>
  <c r="X26" i="7"/>
  <c r="C26" i="7"/>
  <c r="W26" i="7"/>
  <c r="K26" i="7"/>
  <c r="U26" i="7"/>
  <c r="X29" i="7"/>
  <c r="K29" i="7"/>
  <c r="W29" i="7"/>
  <c r="U29" i="7"/>
  <c r="C29" i="7"/>
  <c r="W28" i="7"/>
  <c r="U28" i="7"/>
  <c r="C28" i="7"/>
  <c r="X28" i="7"/>
  <c r="K28" i="7"/>
  <c r="J28" i="7"/>
  <c r="T28" i="7" s="1"/>
  <c r="X30" i="7"/>
  <c r="C30" i="7"/>
  <c r="W30" i="7"/>
  <c r="K30" i="7"/>
  <c r="U30" i="7"/>
  <c r="J27" i="7"/>
  <c r="T27" i="7" s="1"/>
  <c r="I27" i="7"/>
  <c r="S27" i="7" s="1"/>
  <c r="I22" i="7"/>
  <c r="C21" i="7"/>
  <c r="J24" i="7"/>
  <c r="T24" i="7" s="1"/>
  <c r="J26" i="7"/>
  <c r="I24" i="7"/>
  <c r="I26" i="7"/>
  <c r="S26" i="7" s="1"/>
  <c r="J25" i="7" l="1"/>
  <c r="T25" i="7" s="1"/>
  <c r="I21" i="7"/>
  <c r="S21" i="7" s="1"/>
  <c r="I25" i="7"/>
  <c r="J29" i="7"/>
  <c r="T29" i="7" s="1"/>
  <c r="L22" i="7"/>
  <c r="M22" i="7" s="1"/>
  <c r="J31" i="7"/>
  <c r="T31" i="7" s="1"/>
  <c r="V27" i="7"/>
  <c r="H27" i="7" s="1"/>
  <c r="L24" i="7"/>
  <c r="N24" i="7" s="1"/>
  <c r="C32" i="7"/>
  <c r="S9" i="7" s="1"/>
  <c r="S24" i="7"/>
  <c r="Y24" i="7" s="1"/>
  <c r="S29" i="7"/>
  <c r="AH29" i="9"/>
  <c r="L29" i="9"/>
  <c r="AG29" i="9"/>
  <c r="L28" i="7"/>
  <c r="M28" i="7" s="1"/>
  <c r="S28" i="7"/>
  <c r="V28" i="7" s="1"/>
  <c r="H28" i="7" s="1"/>
  <c r="S31" i="7"/>
  <c r="Y27" i="7"/>
  <c r="L26" i="7"/>
  <c r="M26" i="7" s="1"/>
  <c r="S25" i="7"/>
  <c r="T26" i="7"/>
  <c r="Y26" i="7" s="1"/>
  <c r="S22" i="7"/>
  <c r="L27" i="7"/>
  <c r="J30" i="7"/>
  <c r="T30" i="7" s="1"/>
  <c r="I23" i="7"/>
  <c r="I30" i="7"/>
  <c r="L21" i="7" l="1"/>
  <c r="L25" i="7"/>
  <c r="M24" i="7"/>
  <c r="Y29" i="7"/>
  <c r="N22" i="7"/>
  <c r="Y28" i="7"/>
  <c r="V29" i="7"/>
  <c r="H29" i="7" s="1"/>
  <c r="V24" i="7"/>
  <c r="H24" i="7" s="1"/>
  <c r="U32" i="7"/>
  <c r="I19" i="8" s="1"/>
  <c r="N26" i="7"/>
  <c r="X32" i="7"/>
  <c r="I21" i="8" s="1"/>
  <c r="L31" i="7"/>
  <c r="N31" i="7" s="1"/>
  <c r="L29" i="7"/>
  <c r="M29" i="7" s="1"/>
  <c r="N28" i="7"/>
  <c r="E32" i="7"/>
  <c r="K32" i="7"/>
  <c r="I4" i="8" s="1"/>
  <c r="W32" i="7"/>
  <c r="I20" i="8" s="1"/>
  <c r="F32" i="7"/>
  <c r="Y29" i="9"/>
  <c r="Z29" i="9"/>
  <c r="AE29" i="9" s="1"/>
  <c r="AC30" i="9"/>
  <c r="AM29" i="9"/>
  <c r="AJ29" i="9"/>
  <c r="Y31" i="7"/>
  <c r="V31" i="7"/>
  <c r="H31" i="7" s="1"/>
  <c r="V26" i="7"/>
  <c r="H26" i="7" s="1"/>
  <c r="T32" i="7"/>
  <c r="I18" i="8" s="1"/>
  <c r="S23" i="7"/>
  <c r="L23" i="7"/>
  <c r="O26" i="7" s="1"/>
  <c r="I32" i="7"/>
  <c r="M27" i="7"/>
  <c r="N27" i="7"/>
  <c r="Y22" i="7"/>
  <c r="V22" i="7"/>
  <c r="H22" i="7" s="1"/>
  <c r="O22" i="7"/>
  <c r="L30" i="7"/>
  <c r="S30" i="7"/>
  <c r="V25" i="7"/>
  <c r="H25" i="7" s="1"/>
  <c r="Y25" i="7"/>
  <c r="V21" i="7"/>
  <c r="Y21" i="7"/>
  <c r="J32" i="7"/>
  <c r="M25" i="7"/>
  <c r="N25" i="7"/>
  <c r="P24" i="7"/>
  <c r="Q24" i="7" s="1"/>
  <c r="G24" i="7" s="1"/>
  <c r="M21" i="7"/>
  <c r="N21" i="7"/>
  <c r="O23" i="7"/>
  <c r="P22" i="7" l="1"/>
  <c r="Q22" i="7" s="1"/>
  <c r="G22" i="7" s="1"/>
  <c r="M31" i="7"/>
  <c r="N29" i="7"/>
  <c r="P29" i="7" s="1"/>
  <c r="Q29" i="7" s="1"/>
  <c r="O29" i="7"/>
  <c r="O30" i="7"/>
  <c r="P27" i="7"/>
  <c r="Q27" i="7" s="1"/>
  <c r="R27" i="7" s="1"/>
  <c r="O27" i="7"/>
  <c r="I13" i="8"/>
  <c r="P26" i="7"/>
  <c r="Q26" i="7" s="1"/>
  <c r="G26" i="7" s="1"/>
  <c r="P28" i="7"/>
  <c r="Q28" i="7" s="1"/>
  <c r="G28" i="7" s="1"/>
  <c r="O31" i="7"/>
  <c r="G34" i="7" s="1"/>
  <c r="O28" i="7"/>
  <c r="R22" i="7"/>
  <c r="P31" i="7"/>
  <c r="Q31" i="7" s="1"/>
  <c r="G31" i="7" s="1"/>
  <c r="AF29" i="9"/>
  <c r="R29" i="9"/>
  <c r="AB30" i="9"/>
  <c r="AD30" i="9"/>
  <c r="Q34" i="9"/>
  <c r="Q33" i="9"/>
  <c r="P29" i="9"/>
  <c r="V23" i="7"/>
  <c r="H23" i="7" s="1"/>
  <c r="Y23" i="7"/>
  <c r="R24" i="7"/>
  <c r="N30" i="7"/>
  <c r="P30" i="7" s="1"/>
  <c r="Q30" i="7" s="1"/>
  <c r="M30" i="7"/>
  <c r="I6" i="8"/>
  <c r="I15" i="8"/>
  <c r="L32" i="7"/>
  <c r="P21" i="7"/>
  <c r="Q21" i="7" s="1"/>
  <c r="R21" i="7" s="1"/>
  <c r="S32" i="7"/>
  <c r="I17" i="8" s="1"/>
  <c r="M23" i="7"/>
  <c r="N23" i="7"/>
  <c r="P23" i="7" s="1"/>
  <c r="Q23" i="7" s="1"/>
  <c r="O25" i="7"/>
  <c r="P25" i="7"/>
  <c r="Q25" i="7" s="1"/>
  <c r="G25" i="7" s="1"/>
  <c r="O24" i="7"/>
  <c r="I14" i="8"/>
  <c r="I5" i="8"/>
  <c r="H21" i="7"/>
  <c r="Y30" i="7"/>
  <c r="V30" i="7"/>
  <c r="H30" i="7" s="1"/>
  <c r="G29" i="7" l="1"/>
  <c r="R29" i="7"/>
  <c r="G35" i="7"/>
  <c r="Q30" i="9"/>
  <c r="AI30" i="9" s="1"/>
  <c r="AI31" i="9" s="1"/>
  <c r="R28" i="7"/>
  <c r="G27" i="7"/>
  <c r="R26" i="7"/>
  <c r="H32" i="7"/>
  <c r="O32" i="7"/>
  <c r="Y32" i="7"/>
  <c r="R31" i="7"/>
  <c r="R30" i="7"/>
  <c r="V32" i="7"/>
  <c r="N32" i="7"/>
  <c r="M32" i="7"/>
  <c r="Q32" i="7"/>
  <c r="R23" i="7"/>
  <c r="G23" i="7"/>
  <c r="G30" i="7"/>
  <c r="R25" i="7"/>
  <c r="G21" i="7"/>
  <c r="O30" i="9" l="1"/>
  <c r="AK30" i="9"/>
  <c r="AK31" i="9" s="1"/>
  <c r="Q31" i="9"/>
  <c r="AL30" i="9"/>
  <c r="AL31" i="9" s="1"/>
  <c r="K30" i="9"/>
  <c r="K31" i="9" s="1"/>
  <c r="AA30" i="9"/>
  <c r="R32" i="7"/>
  <c r="O31" i="9"/>
  <c r="I30" i="9"/>
  <c r="J30" i="9"/>
  <c r="G32" i="7"/>
  <c r="I11" i="8" s="1"/>
  <c r="I16" i="8"/>
  <c r="I7" i="8"/>
  <c r="I3" i="8"/>
  <c r="I12" i="8"/>
  <c r="Q34" i="7" l="1"/>
  <c r="Q35" i="7"/>
  <c r="L30" i="9"/>
  <c r="AG30" i="9"/>
  <c r="I31" i="9"/>
  <c r="AH30" i="9"/>
  <c r="AH31" i="9" s="1"/>
  <c r="J31" i="9"/>
  <c r="I2" i="8"/>
  <c r="I8" i="8" s="1"/>
  <c r="J2" i="8" s="1"/>
  <c r="K16" i="8"/>
  <c r="K12" i="8"/>
  <c r="I22" i="8"/>
  <c r="J12" i="8" s="1"/>
  <c r="K20" i="8"/>
  <c r="K21" i="8"/>
  <c r="K19" i="8"/>
  <c r="K13" i="8"/>
  <c r="K18" i="8"/>
  <c r="K14" i="8"/>
  <c r="K17" i="8"/>
  <c r="K15" i="8"/>
  <c r="AM30" i="9" l="1"/>
  <c r="AM31" i="9" s="1"/>
  <c r="AJ30" i="9"/>
  <c r="AG31" i="9"/>
  <c r="L31" i="9"/>
  <c r="Y30" i="9"/>
  <c r="Z30" i="9"/>
  <c r="Z31" i="9" s="1"/>
  <c r="J4" i="8"/>
  <c r="J6" i="8"/>
  <c r="J5" i="8"/>
  <c r="J7" i="8"/>
  <c r="J19" i="8"/>
  <c r="J21" i="8"/>
  <c r="J20" i="8"/>
  <c r="J13" i="8"/>
  <c r="J18" i="8"/>
  <c r="J15" i="8"/>
  <c r="J14" i="8"/>
  <c r="J17" i="8"/>
  <c r="J3" i="8"/>
  <c r="J16" i="8"/>
  <c r="J11" i="8"/>
  <c r="K22" i="8"/>
  <c r="AE30" i="9" l="1"/>
  <c r="AE31" i="9" s="1"/>
  <c r="Y31" i="9"/>
  <c r="AJ31" i="9"/>
  <c r="R30" i="9"/>
  <c r="R31" i="9" s="1"/>
  <c r="J22" i="8"/>
  <c r="AF30" i="9" l="1"/>
  <c r="AF31" i="9" s="1"/>
  <c r="P30" i="9"/>
  <c r="P31" i="9" s="1"/>
  <c r="J34" i="9"/>
  <c r="J33" i="9"/>
</calcChain>
</file>

<file path=xl/comments1.xml><?xml version="1.0" encoding="utf-8"?>
<comments xmlns="http://schemas.openxmlformats.org/spreadsheetml/2006/main">
  <authors>
    <author>Anna Grobel-Kijanka</author>
    <author>aniagk</author>
  </authors>
  <commentList>
    <comment ref="D7" authorId="0" shapeId="0">
      <text>
        <r>
          <rPr>
            <b/>
            <sz val="9"/>
            <color indexed="81"/>
            <rFont val="Tahoma"/>
            <family val="2"/>
            <charset val="238"/>
          </rPr>
          <t>Anna Grobel-Kijanka:</t>
        </r>
        <r>
          <rPr>
            <sz val="9"/>
            <color indexed="81"/>
            <rFont val="Tahoma"/>
            <family val="2"/>
            <charset val="238"/>
          </rPr>
          <t xml:space="preserve">
NETTO</t>
        </r>
      </text>
    </comment>
    <comment ref="C8" authorId="1" shapeId="0">
      <text>
        <r>
          <rPr>
            <b/>
            <sz val="8"/>
            <color indexed="81"/>
            <rFont val="Tahoma"/>
            <family val="2"/>
            <charset val="238"/>
          </rPr>
          <t>aniagk:</t>
        </r>
        <r>
          <rPr>
            <sz val="8"/>
            <color indexed="81"/>
            <rFont val="Tahoma"/>
            <family val="2"/>
            <charset val="238"/>
          </rPr>
          <t xml:space="preserve">
minimalne wynagrodzenie za płacę BRUTTO</t>
        </r>
      </text>
    </comment>
  </commentList>
</comments>
</file>

<file path=xl/sharedStrings.xml><?xml version="1.0" encoding="utf-8"?>
<sst xmlns="http://schemas.openxmlformats.org/spreadsheetml/2006/main" count="252" uniqueCount="218">
  <si>
    <t>Wynagrodzenie brutto</t>
  </si>
  <si>
    <t>Miesiąc</t>
  </si>
  <si>
    <t>Wynagrodzenie
brutto</t>
  </si>
  <si>
    <t>Razem</t>
  </si>
  <si>
    <t>I próg</t>
  </si>
  <si>
    <t>II próg</t>
  </si>
  <si>
    <t>III próg</t>
  </si>
  <si>
    <t>u.z.odliczane
od podatku</t>
  </si>
  <si>
    <t>podstawa do obliczania emer i renty</t>
  </si>
  <si>
    <t>Obciążenia pracownika</t>
  </si>
  <si>
    <t>Obciążenia pracodawcy</t>
  </si>
  <si>
    <t>Fundusz Pracy</t>
  </si>
  <si>
    <t>Wynagrodzenie
netto</t>
  </si>
  <si>
    <t>Zaliczka na podatek dochodowy</t>
  </si>
  <si>
    <t>Ubezb. społeczne</t>
  </si>
  <si>
    <t>Ubezp. zdrowotne</t>
  </si>
  <si>
    <t>ubezp. odliczane 
z podatku</t>
  </si>
  <si>
    <t>Próg podatkowy</t>
  </si>
  <si>
    <t>Stawka ubezpieczenia wypadkowego</t>
  </si>
  <si>
    <t>razem</t>
  </si>
  <si>
    <t>Całkowity koszt płacowy pracownika</t>
  </si>
  <si>
    <t>MWZP</t>
  </si>
  <si>
    <t>Składki ZUS</t>
  </si>
  <si>
    <t>Fundusz Gwarant.
Świadczeń Pracow.</t>
  </si>
  <si>
    <t>Emery
talne</t>
  </si>
  <si>
    <t>Rentowe</t>
  </si>
  <si>
    <t>Choro
bowe</t>
  </si>
  <si>
    <t>Wypad
kowe</t>
  </si>
  <si>
    <t>Uwzględniana jest kwota wolna od podatku:</t>
  </si>
  <si>
    <t>Uwzględniane jest ograniczenie wymiaru składek ZUS od  kwoty:</t>
  </si>
  <si>
    <t>Koszt całkowity/Wynagrodzenie netto</t>
  </si>
  <si>
    <t>Kwota ograniczenia rocznej podstawy wymiaru składek</t>
  </si>
  <si>
    <t>Klin podatkowy</t>
  </si>
  <si>
    <t>Kalkulator płac 2013</t>
  </si>
  <si>
    <t>Wynagrodzenie netto</t>
  </si>
  <si>
    <t>ZUS</t>
  </si>
  <si>
    <t>netto</t>
  </si>
  <si>
    <t>ub. zdrowotne</t>
  </si>
  <si>
    <t>ub. chorobowe</t>
  </si>
  <si>
    <t>ub. rentowe</t>
  </si>
  <si>
    <t>ub. emerytalne</t>
  </si>
  <si>
    <t>zaliczka na PIT</t>
  </si>
  <si>
    <t>Rocznie</t>
  </si>
  <si>
    <t>Wynagr.
brutto</t>
  </si>
  <si>
    <t>suma brutto</t>
  </si>
  <si>
    <t>%</t>
  </si>
  <si>
    <t>brak e_r
kwota objęta ZUS</t>
  </si>
  <si>
    <t xml:space="preserve">ub. emerytalne </t>
  </si>
  <si>
    <t>wypadkowe</t>
  </si>
  <si>
    <t>fundusz pracy</t>
  </si>
  <si>
    <t>fundusz gwar.św.prac.</t>
  </si>
  <si>
    <t>Całkowity koszt 
płacowy pracownika</t>
  </si>
  <si>
    <t>styczeń</t>
  </si>
  <si>
    <t>luty</t>
  </si>
  <si>
    <t>marzec</t>
  </si>
  <si>
    <t>kwiecień</t>
  </si>
  <si>
    <t>maj</t>
  </si>
  <si>
    <t>czerwiec</t>
  </si>
  <si>
    <t>lipiec</t>
  </si>
  <si>
    <t>sierpień</t>
  </si>
  <si>
    <t>wrzesień</t>
  </si>
  <si>
    <t>październik</t>
  </si>
  <si>
    <t>listopad</t>
  </si>
  <si>
    <t>grudzień</t>
  </si>
  <si>
    <t>Koszty uzyskania przychodu</t>
  </si>
  <si>
    <t>Emerytalne</t>
  </si>
  <si>
    <t>Wypadkowe</t>
  </si>
  <si>
    <r>
      <t>Założenia:</t>
    </r>
    <r>
      <rPr>
        <i/>
        <sz val="9"/>
        <color indexed="62"/>
        <rFont val="Calibri"/>
        <family val="2"/>
        <charset val="238"/>
        <scheme val="major"/>
      </rPr>
      <t xml:space="preserve"> Wynagrodzenie brutto stałe w ciągu roku. Pracownik zatrudniony jest w ramach jednego etatu .</t>
    </r>
  </si>
  <si>
    <t xml:space="preserve">Wyższa Szkoła Zarządzania i Bankowości w Krakowie® </t>
  </si>
  <si>
    <t>Chorobowe</t>
  </si>
  <si>
    <t>Grupy działalności, kategorie ryzyka i stopy procentowe składki na ubezpieczenie wypadkowe dla grup działalności</t>
  </si>
  <si>
    <t>Lp.</t>
  </si>
  <si>
    <t>A-01</t>
  </si>
  <si>
    <t>A-02</t>
  </si>
  <si>
    <t>Rybactwo</t>
  </si>
  <si>
    <t>A-03</t>
  </si>
  <si>
    <t>B-05</t>
  </si>
  <si>
    <t>B-06</t>
  </si>
  <si>
    <t>Górnictwo rud metali</t>
  </si>
  <si>
    <t>B-07</t>
  </si>
  <si>
    <t>B-08</t>
  </si>
  <si>
    <t>B-09</t>
  </si>
  <si>
    <t>Produkcja artykułów spożywczych</t>
  </si>
  <si>
    <t>C-10</t>
  </si>
  <si>
    <t>Produkcja napojów</t>
  </si>
  <si>
    <t>C-11</t>
  </si>
  <si>
    <t>Produkcja wyrobów tytoniowych</t>
  </si>
  <si>
    <t>C-12</t>
  </si>
  <si>
    <t>Produkcja wyrobów tekstylnych</t>
  </si>
  <si>
    <t>C-13</t>
  </si>
  <si>
    <t>Produkcja odzieży</t>
  </si>
  <si>
    <t>C-14</t>
  </si>
  <si>
    <t>C-15</t>
  </si>
  <si>
    <t>C-16</t>
  </si>
  <si>
    <t>C-17</t>
  </si>
  <si>
    <t>C-18</t>
  </si>
  <si>
    <t>C-19</t>
  </si>
  <si>
    <t>C-20</t>
  </si>
  <si>
    <t>C-21</t>
  </si>
  <si>
    <t>C-22</t>
  </si>
  <si>
    <t>C-23</t>
  </si>
  <si>
    <t>Produkcja metali</t>
  </si>
  <si>
    <t>C-24</t>
  </si>
  <si>
    <t>Stopy procentowe składki na ubezpieczenie wypadkowe</t>
  </si>
  <si>
    <t>Dla płatników składek:</t>
  </si>
  <si>
    <t>Uprawy rolne, chów i hodowla zwierząt, łowiectwo, włączając działalność usługową</t>
  </si>
  <si>
    <t>Leśnictwo i pozyskiwanie drewna</t>
  </si>
  <si>
    <t>Wydobywanie węgla kamiennego i węgla brunatnego (lignitu)</t>
  </si>
  <si>
    <t>Górnictwo ropy naftowej i gazu ziemnego</t>
  </si>
  <si>
    <t>Pozostałe górnictwo i wydobywanie</t>
  </si>
  <si>
    <t>Działalność usługowa wspomagająca górnictwo i wydobywanie</t>
  </si>
  <si>
    <t>Produkcja skór i wyrobów ze skór wyprawionych</t>
  </si>
  <si>
    <t>Produkcja papieru i wyrobów z papieru</t>
  </si>
  <si>
    <t>Poligrafia i reprodukcja zapisanych nośników informacji</t>
  </si>
  <si>
    <t>Wytwarzanie i przetwarzanie koksu i produktów rafinacji ropy naftowej</t>
  </si>
  <si>
    <t>Produkcja chemikaliów i wyrobów chemicznych</t>
  </si>
  <si>
    <t>Produkcja podstawowych substancji farmaceutycznych oraz leków i pozostałych wyrobów farmaceutycznych</t>
  </si>
  <si>
    <t>Produkcja wyrobów z gumy i tworzyw sztucznych</t>
  </si>
  <si>
    <t>Produkcja wyrobów z pozostałych mineralnych surowców niemetalicznych</t>
  </si>
  <si>
    <t>Grupa działalności</t>
  </si>
  <si>
    <t>Kategoria ryzyka</t>
  </si>
  <si>
    <t>Stopa procentowa</t>
  </si>
  <si>
    <t>Kod PKD</t>
  </si>
  <si>
    <t>Produkcja wyrobów z drewna oraz korka, z wyłączeniem mebli; produkcja wyrobów ze słomy i materiałów używanych do wyplatania</t>
  </si>
  <si>
    <r>
      <t>1. podlegających wpisowi do rejestru REGON, zgłaszających do ubezpieczenia wypadkowego nie więcej niż 9 osób, stopa procentowa składki wypadkowej wynosi 50% najwyższej stopy procentowej ustalonej na dany rok składkowy dla grup działalności, czyli</t>
    </r>
    <r>
      <rPr>
        <b/>
        <sz val="10"/>
        <rFont val="Arial CE"/>
        <charset val="238"/>
      </rPr>
      <t xml:space="preserve"> </t>
    </r>
    <r>
      <rPr>
        <b/>
        <sz val="10"/>
        <color theme="8" tint="-0.499984740745262"/>
        <rFont val="Arial CE"/>
        <charset val="238"/>
      </rPr>
      <t>1,80%</t>
    </r>
    <r>
      <rPr>
        <sz val="10"/>
        <rFont val="Arial CE"/>
        <charset val="238"/>
      </rPr>
      <t>.</t>
    </r>
  </si>
  <si>
    <t>2. podlegających wpisowi do rejestru REGON, zgłaszających do ubezpieczenia wypadkowego co najmniej 10 osób, którzy przekazali do ZUS informacje ZUS IWA przez trzy kolejne, ostatnie lata kalendarzowe stopę procentową składki wypadkowej ustala ZUS. Natomiast dla płatników, którzy nie przekazali informacji ZUS IWA przez trzy kolejne, ostatnie lata kalendarzowe stopa procentowa składki wypadkowej wynosi tyle, co stopa procentowa określona dla grupy działalności, do której należą.</t>
  </si>
  <si>
    <r>
      <t xml:space="preserve">3. niepodlegających wpisowi do rejestru REGON,  stopa procentowa składki wypadkowej wynosi </t>
    </r>
    <r>
      <rPr>
        <b/>
        <sz val="10"/>
        <color theme="8" tint="-0.499984740745262"/>
        <rFont val="Arial CE"/>
        <charset val="238"/>
      </rPr>
      <t>1,80%</t>
    </r>
    <r>
      <rPr>
        <sz val="10"/>
        <rFont val="Arial CE"/>
        <charset val="238"/>
      </rPr>
      <t>.</t>
    </r>
  </si>
  <si>
    <t>Produkcja metalowych wyrobów gotowych, z wyłączeniem maszyn i urządzeń</t>
  </si>
  <si>
    <t>C-25</t>
  </si>
  <si>
    <t>Produkcja komputerów, wyrobów elektronicznych i optycznych</t>
  </si>
  <si>
    <t>C-26</t>
  </si>
  <si>
    <t>Produkcja urządzeń elektrycznych</t>
  </si>
  <si>
    <t>C-27</t>
  </si>
  <si>
    <t>Produkcja maszyn i urządzeń, gdzie indziej niesklasyfikowana</t>
  </si>
  <si>
    <t>C-28</t>
  </si>
  <si>
    <t>Produkcja pojazdów samochodowych, przyczep i naczep, z wyłączeniem motocykli</t>
  </si>
  <si>
    <t>C-29</t>
  </si>
  <si>
    <t>Produkcja pozostałego sprzętu transportowego</t>
  </si>
  <si>
    <t>C-30</t>
  </si>
  <si>
    <t>Produkcja mebli</t>
  </si>
  <si>
    <t>C-31</t>
  </si>
  <si>
    <t>Pozostała produkcja wyrobów</t>
  </si>
  <si>
    <t>C-32</t>
  </si>
  <si>
    <t>Naprawa, konserwacja i instalowanie maszyn i urządzeń</t>
  </si>
  <si>
    <t>C-33</t>
  </si>
  <si>
    <t>Wytwarzanie i zaopatrywanie w energię elektryczną, gaz, parę wodną, gorącą wodę i powietrze do układów klimatyzacyjnych</t>
  </si>
  <si>
    <t>D-35</t>
  </si>
  <si>
    <t>Pobór, uzdatnianie i dostarczanie wody</t>
  </si>
  <si>
    <t>E-36</t>
  </si>
  <si>
    <t>Odprowadzanie i oczyszczanie ścieków</t>
  </si>
  <si>
    <t>E-37</t>
  </si>
  <si>
    <t>Działalność związana ze zbieraniem, przetwarzaniem i unieszkodliwianiem odpadów; odzysk surowców</t>
  </si>
  <si>
    <t>E-38</t>
  </si>
  <si>
    <t>Działalność związana z rekultywacją i pozostała działalność usługowa związana z gospodarką odpadami</t>
  </si>
  <si>
    <t>E-39</t>
  </si>
  <si>
    <t>Roboty budowlane związane ze wznoszeniem budynków</t>
  </si>
  <si>
    <t>F-41</t>
  </si>
  <si>
    <t>Roboty związane z budową obiektów inżynierii lądowej i wodnej</t>
  </si>
  <si>
    <t>F-42</t>
  </si>
  <si>
    <t>Roboty budowlane specjalistyczne</t>
  </si>
  <si>
    <t>F-43</t>
  </si>
  <si>
    <t>Handel hurtowy i detaliczny pojazdami samochodowymi; naprawa pojazdów samochodowych</t>
  </si>
  <si>
    <t>G-45</t>
  </si>
  <si>
    <t>Handel hurtowy, z wyłączeniem handlu pojazdami samochodowymi</t>
  </si>
  <si>
    <t>G-46</t>
  </si>
  <si>
    <t>Handel detaliczny, z wyłączeniem handlu detalicznego pojazdami samochodowymi</t>
  </si>
  <si>
    <t>G-47</t>
  </si>
  <si>
    <t>Transport lądowy oraz transport rurociągowy</t>
  </si>
  <si>
    <t>H-49</t>
  </si>
  <si>
    <t>Transport wodny</t>
  </si>
  <si>
    <t>H-50</t>
  </si>
  <si>
    <t>Transport lotniczy</t>
  </si>
  <si>
    <t>H-51</t>
  </si>
  <si>
    <t>Magazynowanie i działalność usługowa wspomagająca transport</t>
  </si>
  <si>
    <t>H-52</t>
  </si>
  <si>
    <t>Działalność pocztowa i kurierska</t>
  </si>
  <si>
    <t>H-53</t>
  </si>
  <si>
    <t>Działalność związana z zakwaterowaniem i usługami gastronomicznymi</t>
  </si>
  <si>
    <t>I</t>
  </si>
  <si>
    <t>Informacja i komunikacja</t>
  </si>
  <si>
    <t>J</t>
  </si>
  <si>
    <t>Działalność finansowa i ubezpieczeniowa</t>
  </si>
  <si>
    <t>K</t>
  </si>
  <si>
    <t>Działalność związana z obsługą rynku nieruchomości</t>
  </si>
  <si>
    <t>L</t>
  </si>
  <si>
    <t>Działalność profesjonalna, naukowa i techniczna</t>
  </si>
  <si>
    <t>M</t>
  </si>
  <si>
    <t>Wynajem i dzierżawa</t>
  </si>
  <si>
    <t>N-77</t>
  </si>
  <si>
    <t>Działalność związana z zatrudnieniem</t>
  </si>
  <si>
    <t>N-78</t>
  </si>
  <si>
    <t>Działalność organizatorów turystyki, pośredników i agentów turystycznych oraz pozostała działalność usługowa w zakresie rezerwacji i działalności z nią związane</t>
  </si>
  <si>
    <t>N-79</t>
  </si>
  <si>
    <t>Działalność detektywistyczna i ochroniarska</t>
  </si>
  <si>
    <t>N-80</t>
  </si>
  <si>
    <t>Działalność usługowa związana z utrzymaniem porządku w budynkach i zagospodarowaniem terenów zieleni</t>
  </si>
  <si>
    <t>N-81</t>
  </si>
  <si>
    <t>Działalność związana z administracyjną obsługą biura i pozostała działalność wspomagająca prowadzenie działalności gospodarczej</t>
  </si>
  <si>
    <t>N-82</t>
  </si>
  <si>
    <t>Administracja publiczna i obrona narodowa; obowiązkowe zabezpieczenia społeczne, organizacje i zespoły eksterytorialne</t>
  </si>
  <si>
    <t>O,U</t>
  </si>
  <si>
    <t>Edukacja</t>
  </si>
  <si>
    <t>P</t>
  </si>
  <si>
    <t>Opieka zdrowotna i pomoc społeczna</t>
  </si>
  <si>
    <t>Q</t>
  </si>
  <si>
    <t>Działalność związana z kulturą, rozrywką i rekreacją</t>
  </si>
  <si>
    <t>R</t>
  </si>
  <si>
    <t>Pozostała działalność usługowa, gospodarstwa domowe zatrudniające pracowników; gospodarstwa domowe produkujące wyroby i świadczące usługi na własne potrzeby</t>
  </si>
  <si>
    <t>S,T</t>
  </si>
  <si>
    <t>Roczny klin podatkowy</t>
  </si>
  <si>
    <t>Roczny (koszt całkowity/wynagrodzenie netto)</t>
  </si>
  <si>
    <t>Fundusz Gw.
Świad. Prac.</t>
  </si>
  <si>
    <r>
      <t xml:space="preserve">Uwzględniane jest </t>
    </r>
    <r>
      <rPr>
        <b/>
        <i/>
        <sz val="11"/>
        <color theme="4" tint="-0.249977111117893"/>
        <rFont val="Calibri"/>
        <family val="2"/>
        <charset val="238"/>
        <scheme val="major"/>
      </rPr>
      <t>ograniczenie wymiaru składek ZUS</t>
    </r>
    <r>
      <rPr>
        <i/>
        <sz val="11"/>
        <color theme="4" tint="-0.249977111117893"/>
        <rFont val="Calibri"/>
        <family val="2"/>
        <charset val="238"/>
        <scheme val="major"/>
      </rPr>
      <t xml:space="preserve"> od  kwoty:</t>
    </r>
  </si>
  <si>
    <t>Uwaga! Kalkulator wynagrodzeń spełnia jedynie rolę informacyjną i nie może być stosowany do wyliczeń wynagrodzeń dla pracowników w warunkach funkcjonowania podmiotów gospodarczych.</t>
  </si>
  <si>
    <t>kwota wolna</t>
  </si>
  <si>
    <t>Kalkulator płac 2018</t>
  </si>
  <si>
    <r>
      <rPr>
        <b/>
        <i/>
        <sz val="11"/>
        <color theme="4" tint="-0.249977111117893"/>
        <rFont val="Calibri"/>
        <family val="2"/>
        <charset val="238"/>
        <scheme val="major"/>
      </rPr>
      <t xml:space="preserve">Założenia: </t>
    </r>
    <r>
      <rPr>
        <i/>
        <sz val="11"/>
        <color theme="4" tint="-0.249977111117893"/>
        <rFont val="Calibri"/>
        <family val="2"/>
        <charset val="238"/>
        <scheme val="major"/>
      </rPr>
      <t>Pracownik zatrudniony jest w ramach</t>
    </r>
    <r>
      <rPr>
        <i/>
        <sz val="11"/>
        <color rgb="FFC00000"/>
        <rFont val="Calibri"/>
        <family val="2"/>
        <charset val="238"/>
        <scheme val="major"/>
      </rPr>
      <t xml:space="preserve"> </t>
    </r>
    <r>
      <rPr>
        <b/>
        <i/>
        <sz val="11"/>
        <color rgb="FFC00000"/>
        <rFont val="Calibri"/>
        <family val="2"/>
        <charset val="238"/>
        <scheme val="major"/>
      </rPr>
      <t>jednego etatu</t>
    </r>
    <r>
      <rPr>
        <i/>
        <sz val="11"/>
        <color theme="4" tint="-0.249977111117893"/>
        <rFont val="Calibri"/>
        <family val="2"/>
        <charset val="238"/>
        <scheme val="major"/>
      </rPr>
      <t xml:space="preserve">. Płaca minimalna od 1 stycznia 2018 roku wynosi brutto: </t>
    </r>
  </si>
  <si>
    <t>Dopóki dochód pracownika nie przekroczy progu podatkowego (85 528 zł) uzwględniana jest miesięczna kwota zmniejszająca podatek: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</si>
</sst>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0\ &quot;zł&quot;;\-#,##0\ &quot;zł&quot;"/>
    <numFmt numFmtId="44" formatCode="_-* #,##0.00\ &quot;zł&quot;_-;\-* #,##0.00\ &quot;zł&quot;_-;_-* &quot;-&quot;??\ &quot;zł&quot;_-;_-@_-"/>
    <numFmt numFmtId="43" formatCode="_-* #,##0.00\ _z_ł_-;\-* #,##0.00\ _z_ł_-;_-* &quot;-&quot;??\ _z_ł_-;_-@_-"/>
    <numFmt numFmtId="164" formatCode="#,##0.00_ ;\-#,##0.00\ "/>
    <numFmt numFmtId="165" formatCode="_-* #,##0\ _z_ł_-;\-* #,##0\ _z_ł_-;_-* &quot;-&quot;??\ _z_ł_-;_-@_-"/>
    <numFmt numFmtId="166" formatCode="#,##0.00_ ;[Red]\-#,##0.00\ "/>
    <numFmt numFmtId="167" formatCode="#,##0.00\ &quot;zł&quot;"/>
    <numFmt numFmtId="168" formatCode="0.0000"/>
  </numFmts>
  <fonts count="96">
    <font>
      <sz val="10"/>
      <name val="Arial CE"/>
      <charset val="238"/>
    </font>
    <font>
      <sz val="11"/>
      <color theme="1"/>
      <name val="Czcionka tekstu podstawowego"/>
      <family val="2"/>
      <charset val="238"/>
    </font>
    <font>
      <sz val="10"/>
      <name val="Arial CE"/>
      <charset val="238"/>
    </font>
    <font>
      <sz val="10"/>
      <name val="Arial CE"/>
      <family val="2"/>
      <charset val="238"/>
    </font>
    <font>
      <sz val="9"/>
      <name val="Arial CE"/>
      <family val="2"/>
      <charset val="238"/>
    </font>
    <font>
      <sz val="8"/>
      <name val="Arial CE"/>
      <charset val="238"/>
    </font>
    <font>
      <b/>
      <sz val="10"/>
      <name val="Arial CE"/>
      <charset val="238"/>
    </font>
    <font>
      <i/>
      <sz val="8"/>
      <name val="Arial CE"/>
      <charset val="238"/>
    </font>
    <font>
      <b/>
      <i/>
      <sz val="9"/>
      <name val="Arial CE"/>
      <family val="2"/>
      <charset val="238"/>
    </font>
    <font>
      <i/>
      <sz val="9"/>
      <name val="Arial CE"/>
      <family val="2"/>
      <charset val="238"/>
    </font>
    <font>
      <sz val="8"/>
      <name val="Arial CE"/>
      <family val="2"/>
      <charset val="238"/>
    </font>
    <font>
      <i/>
      <sz val="9"/>
      <name val="Arial CE"/>
      <charset val="238"/>
    </font>
    <font>
      <i/>
      <sz val="8"/>
      <name val="Arial CE"/>
      <family val="2"/>
      <charset val="238"/>
    </font>
    <font>
      <b/>
      <i/>
      <sz val="7.5"/>
      <name val="Arial CE"/>
      <charset val="238"/>
    </font>
    <font>
      <b/>
      <i/>
      <sz val="8"/>
      <color indexed="10"/>
      <name val="Arial CE"/>
      <charset val="238"/>
    </font>
    <font>
      <i/>
      <sz val="7.5"/>
      <name val="Arial CE"/>
      <family val="2"/>
      <charset val="238"/>
    </font>
    <font>
      <b/>
      <i/>
      <sz val="8"/>
      <name val="Arial CE"/>
      <charset val="238"/>
    </font>
    <font>
      <sz val="7.5"/>
      <name val="Arial CE"/>
      <family val="2"/>
      <charset val="238"/>
    </font>
    <font>
      <b/>
      <sz val="7.5"/>
      <name val="Arial CE"/>
      <family val="2"/>
      <charset val="238"/>
    </font>
    <font>
      <b/>
      <sz val="8"/>
      <name val="Arial"/>
      <family val="2"/>
      <charset val="238"/>
    </font>
    <font>
      <sz val="7.5"/>
      <name val="Arial"/>
      <family val="2"/>
      <charset val="238"/>
    </font>
    <font>
      <b/>
      <sz val="7.5"/>
      <name val="Arial"/>
      <family val="2"/>
      <charset val="238"/>
    </font>
    <font>
      <sz val="8"/>
      <color indexed="81"/>
      <name val="Tahoma"/>
      <family val="2"/>
      <charset val="238"/>
    </font>
    <font>
      <b/>
      <sz val="8"/>
      <color indexed="81"/>
      <name val="Tahoma"/>
      <family val="2"/>
      <charset val="238"/>
    </font>
    <font>
      <b/>
      <sz val="8"/>
      <name val="Arial CE"/>
      <charset val="238"/>
    </font>
    <font>
      <i/>
      <sz val="7"/>
      <color rgb="FFC00000"/>
      <name val="Arial CE"/>
      <family val="2"/>
      <charset val="238"/>
    </font>
    <font>
      <b/>
      <i/>
      <sz val="7"/>
      <color rgb="FFC00000"/>
      <name val="Arial CE"/>
      <family val="2"/>
      <charset val="238"/>
    </font>
    <font>
      <sz val="7"/>
      <color rgb="FFC00000"/>
      <name val="Arial CE"/>
      <family val="2"/>
      <charset val="238"/>
    </font>
    <font>
      <sz val="9"/>
      <color indexed="81"/>
      <name val="Tahoma"/>
      <family val="2"/>
      <charset val="238"/>
    </font>
    <font>
      <b/>
      <sz val="9"/>
      <color indexed="81"/>
      <name val="Tahoma"/>
      <family val="2"/>
      <charset val="238"/>
    </font>
    <font>
      <sz val="9"/>
      <name val="Calibri"/>
      <family val="2"/>
      <charset val="238"/>
      <scheme val="major"/>
    </font>
    <font>
      <sz val="10"/>
      <name val="Calibri"/>
      <family val="2"/>
      <charset val="238"/>
      <scheme val="major"/>
    </font>
    <font>
      <i/>
      <sz val="9"/>
      <color indexed="62"/>
      <name val="Calibri"/>
      <family val="2"/>
      <charset val="238"/>
      <scheme val="major"/>
    </font>
    <font>
      <b/>
      <i/>
      <sz val="9"/>
      <color indexed="62"/>
      <name val="Calibri"/>
      <family val="2"/>
      <charset val="238"/>
      <scheme val="major"/>
    </font>
    <font>
      <sz val="11"/>
      <name val="Calibri"/>
      <family val="2"/>
      <charset val="238"/>
      <scheme val="major"/>
    </font>
    <font>
      <b/>
      <i/>
      <sz val="9"/>
      <color rgb="FFC00000"/>
      <name val="Calibri"/>
      <family val="2"/>
      <charset val="238"/>
      <scheme val="major"/>
    </font>
    <font>
      <i/>
      <sz val="9"/>
      <color indexed="12"/>
      <name val="Calibri"/>
      <family val="2"/>
      <charset val="238"/>
      <scheme val="major"/>
    </font>
    <font>
      <b/>
      <sz val="12"/>
      <name val="Calibri"/>
      <family val="2"/>
      <charset val="238"/>
      <scheme val="major"/>
    </font>
    <font>
      <b/>
      <i/>
      <sz val="8"/>
      <color indexed="10"/>
      <name val="Calibri"/>
      <family val="2"/>
      <charset val="238"/>
      <scheme val="major"/>
    </font>
    <font>
      <sz val="10"/>
      <color theme="4" tint="-0.249977111117893"/>
      <name val="Calibri"/>
      <family val="2"/>
      <charset val="238"/>
      <scheme val="major"/>
    </font>
    <font>
      <b/>
      <sz val="10"/>
      <color theme="4" tint="-0.249977111117893"/>
      <name val="Calibri"/>
      <family val="2"/>
      <charset val="238"/>
      <scheme val="major"/>
    </font>
    <font>
      <b/>
      <i/>
      <sz val="10"/>
      <name val="Calibri"/>
      <family val="2"/>
      <charset val="238"/>
      <scheme val="major"/>
    </font>
    <font>
      <sz val="8"/>
      <name val="Calibri"/>
      <family val="2"/>
      <charset val="238"/>
      <scheme val="major"/>
    </font>
    <font>
      <i/>
      <sz val="9"/>
      <name val="Calibri"/>
      <family val="2"/>
      <charset val="238"/>
      <scheme val="major"/>
    </font>
    <font>
      <i/>
      <sz val="8"/>
      <name val="Calibri"/>
      <family val="2"/>
      <charset val="238"/>
      <scheme val="major"/>
    </font>
    <font>
      <b/>
      <sz val="10"/>
      <name val="Calibri"/>
      <family val="2"/>
      <charset val="238"/>
      <scheme val="major"/>
    </font>
    <font>
      <b/>
      <i/>
      <sz val="9"/>
      <name val="Calibri"/>
      <family val="2"/>
      <charset val="238"/>
      <scheme val="major"/>
    </font>
    <font>
      <b/>
      <i/>
      <sz val="8"/>
      <name val="Calibri"/>
      <family val="2"/>
      <charset val="238"/>
      <scheme val="major"/>
    </font>
    <font>
      <b/>
      <i/>
      <sz val="7.5"/>
      <name val="Calibri"/>
      <family val="2"/>
      <charset val="238"/>
      <scheme val="major"/>
    </font>
    <font>
      <i/>
      <sz val="7.5"/>
      <name val="Calibri"/>
      <family val="2"/>
      <charset val="238"/>
      <scheme val="major"/>
    </font>
    <font>
      <sz val="7.5"/>
      <name val="Calibri"/>
      <family val="2"/>
      <charset val="238"/>
      <scheme val="major"/>
    </font>
    <font>
      <i/>
      <sz val="7"/>
      <color rgb="FFC00000"/>
      <name val="Calibri"/>
      <family val="2"/>
      <charset val="238"/>
      <scheme val="major"/>
    </font>
    <font>
      <b/>
      <i/>
      <sz val="7"/>
      <color rgb="FFC00000"/>
      <name val="Calibri"/>
      <family val="2"/>
      <charset val="238"/>
      <scheme val="major"/>
    </font>
    <font>
      <b/>
      <sz val="7.5"/>
      <name val="Calibri"/>
      <family val="2"/>
      <charset val="238"/>
      <scheme val="major"/>
    </font>
    <font>
      <b/>
      <sz val="10"/>
      <color indexed="62"/>
      <name val="Calibri"/>
      <family val="2"/>
      <charset val="238"/>
      <scheme val="major"/>
    </font>
    <font>
      <b/>
      <sz val="8"/>
      <name val="Calibri"/>
      <family val="2"/>
      <charset val="238"/>
      <scheme val="major"/>
    </font>
    <font>
      <b/>
      <sz val="9"/>
      <name val="Calibri"/>
      <family val="2"/>
      <charset val="238"/>
      <scheme val="major"/>
    </font>
    <font>
      <i/>
      <sz val="10"/>
      <name val="Calibri"/>
      <family val="2"/>
      <charset val="238"/>
      <scheme val="major"/>
    </font>
    <font>
      <b/>
      <i/>
      <sz val="10"/>
      <color rgb="FFC00000"/>
      <name val="Calibri"/>
      <family val="2"/>
      <charset val="238"/>
      <scheme val="major"/>
    </font>
    <font>
      <b/>
      <i/>
      <sz val="11"/>
      <color rgb="FFC00000"/>
      <name val="Calibri"/>
      <family val="2"/>
      <charset val="238"/>
      <scheme val="major"/>
    </font>
    <font>
      <b/>
      <i/>
      <sz val="10"/>
      <color indexed="62"/>
      <name val="Calibri"/>
      <family val="2"/>
      <charset val="238"/>
      <scheme val="major"/>
    </font>
    <font>
      <b/>
      <sz val="11"/>
      <color rgb="FFC00000"/>
      <name val="Calibri"/>
      <family val="2"/>
      <charset val="238"/>
      <scheme val="major"/>
    </font>
    <font>
      <b/>
      <sz val="10"/>
      <color rgb="FFC00000"/>
      <name val="Calibri"/>
      <family val="2"/>
      <charset val="238"/>
      <scheme val="major"/>
    </font>
    <font>
      <b/>
      <u val="double"/>
      <sz val="12"/>
      <color indexed="18"/>
      <name val="Calibri"/>
      <family val="2"/>
      <charset val="238"/>
      <scheme val="major"/>
    </font>
    <font>
      <sz val="7.5"/>
      <color rgb="FFC00000"/>
      <name val="Calibri"/>
      <family val="2"/>
      <charset val="238"/>
      <scheme val="major"/>
    </font>
    <font>
      <i/>
      <sz val="10"/>
      <color theme="1" tint="0.34998626667073579"/>
      <name val="Calibri"/>
      <family val="2"/>
      <charset val="238"/>
      <scheme val="major"/>
    </font>
    <font>
      <sz val="8"/>
      <color theme="4" tint="-0.499984740745262"/>
      <name val="Calibri"/>
      <family val="2"/>
      <charset val="238"/>
      <scheme val="major"/>
    </font>
    <font>
      <b/>
      <sz val="10"/>
      <color theme="4" tint="-0.499984740745262"/>
      <name val="Calibri"/>
      <family val="2"/>
      <charset val="238"/>
      <scheme val="major"/>
    </font>
    <font>
      <b/>
      <i/>
      <sz val="10"/>
      <color theme="4" tint="-0.249977111117893"/>
      <name val="Calibri"/>
      <family val="2"/>
      <charset val="238"/>
      <scheme val="major"/>
    </font>
    <font>
      <b/>
      <sz val="9"/>
      <color theme="4" tint="-0.249977111117893"/>
      <name val="Calibri"/>
      <family val="2"/>
      <charset val="238"/>
      <scheme val="major"/>
    </font>
    <font>
      <b/>
      <sz val="9"/>
      <color theme="4" tint="-0.499984740745262"/>
      <name val="Calibri"/>
      <family val="2"/>
      <charset val="238"/>
      <scheme val="major"/>
    </font>
    <font>
      <b/>
      <sz val="10"/>
      <color theme="1" tint="0.34998626667073579"/>
      <name val="Arial CE"/>
      <charset val="238"/>
    </font>
    <font>
      <b/>
      <sz val="10"/>
      <color theme="8" tint="-0.499984740745262"/>
      <name val="Arial CE"/>
      <charset val="238"/>
    </font>
    <font>
      <b/>
      <sz val="18"/>
      <color theme="8" tint="-0.499984740745262"/>
      <name val="Segoe UI"/>
      <family val="2"/>
      <charset val="238"/>
    </font>
    <font>
      <b/>
      <sz val="11"/>
      <color theme="8" tint="-0.249977111117893"/>
      <name val="Segoe UI Semibold"/>
      <family val="2"/>
      <charset val="238"/>
    </font>
    <font>
      <sz val="11"/>
      <color theme="4" tint="-0.249977111117893"/>
      <name val="Calibri"/>
      <family val="2"/>
      <charset val="238"/>
      <scheme val="major"/>
    </font>
    <font>
      <b/>
      <i/>
      <sz val="9"/>
      <color theme="4" tint="-0.249977111117893"/>
      <name val="Calibri"/>
      <family val="2"/>
      <charset val="238"/>
      <scheme val="major"/>
    </font>
    <font>
      <i/>
      <sz val="9"/>
      <color rgb="FFC00000"/>
      <name val="Calibri"/>
      <family val="2"/>
      <charset val="238"/>
      <scheme val="major"/>
    </font>
    <font>
      <i/>
      <sz val="11"/>
      <name val="Calibri"/>
      <family val="2"/>
      <charset val="238"/>
      <scheme val="major"/>
    </font>
    <font>
      <i/>
      <sz val="11"/>
      <color theme="4" tint="-0.249977111117893"/>
      <name val="Calibri"/>
      <family val="2"/>
      <charset val="238"/>
      <scheme val="major"/>
    </font>
    <font>
      <b/>
      <i/>
      <sz val="11"/>
      <color theme="4" tint="-0.249977111117893"/>
      <name val="Calibri"/>
      <family val="2"/>
      <charset val="238"/>
      <scheme val="major"/>
    </font>
    <font>
      <i/>
      <sz val="10"/>
      <color theme="4" tint="-0.249977111117893"/>
      <name val="Calibri"/>
      <family val="2"/>
      <charset val="238"/>
      <scheme val="major"/>
    </font>
    <font>
      <i/>
      <sz val="9"/>
      <color theme="4" tint="-0.249977111117893"/>
      <name val="Calibri"/>
      <family val="2"/>
      <charset val="238"/>
      <scheme val="major"/>
    </font>
    <font>
      <i/>
      <sz val="11"/>
      <color rgb="FFC00000"/>
      <name val="Calibri"/>
      <family val="2"/>
      <charset val="238"/>
      <scheme val="major"/>
    </font>
    <font>
      <b/>
      <sz val="11"/>
      <color theme="4" tint="-0.249977111117893"/>
      <name val="Calibri"/>
      <family val="2"/>
      <charset val="238"/>
      <scheme val="major"/>
    </font>
    <font>
      <b/>
      <sz val="11.5"/>
      <color theme="4" tint="-0.249977111117893"/>
      <name val="Calibri"/>
      <family val="2"/>
      <charset val="238"/>
      <scheme val="major"/>
    </font>
    <font>
      <sz val="11.5"/>
      <color theme="4" tint="-0.249977111117893"/>
      <name val="Calibri"/>
      <family val="2"/>
      <charset val="238"/>
      <scheme val="major"/>
    </font>
    <font>
      <sz val="10"/>
      <color theme="4"/>
      <name val="Arial Narrow"/>
      <family val="2"/>
      <charset val="238"/>
    </font>
    <font>
      <b/>
      <sz val="12"/>
      <color rgb="FFC00000"/>
      <name val="Calibri"/>
      <family val="2"/>
      <charset val="238"/>
      <scheme val="major"/>
    </font>
    <font>
      <b/>
      <sz val="11"/>
      <color rgb="FF065E47"/>
      <name val="Calibri"/>
      <family val="2"/>
      <charset val="238"/>
      <scheme val="major"/>
    </font>
    <font>
      <b/>
      <sz val="10"/>
      <color rgb="FF065E47"/>
      <name val="Calibri"/>
      <family val="2"/>
      <charset val="238"/>
      <scheme val="major"/>
    </font>
    <font>
      <b/>
      <sz val="9"/>
      <color rgb="FF065E47"/>
      <name val="Calibri"/>
      <family val="2"/>
      <charset val="238"/>
      <scheme val="major"/>
    </font>
    <font>
      <b/>
      <i/>
      <sz val="10"/>
      <color rgb="FF065E47"/>
      <name val="Calibri"/>
      <family val="2"/>
      <charset val="238"/>
      <scheme val="major"/>
    </font>
    <font>
      <b/>
      <i/>
      <sz val="8"/>
      <color rgb="FFFF0000"/>
      <name val="Calibri"/>
      <family val="2"/>
      <charset val="238"/>
      <scheme val="major"/>
    </font>
    <font>
      <i/>
      <sz val="10.5"/>
      <color theme="4" tint="-0.249977111117893"/>
      <name val="Calibri"/>
      <family val="2"/>
      <charset val="238"/>
      <scheme val="major"/>
    </font>
    <font>
      <sz val="18"/>
      <color theme="0"/>
      <name val="Segoe UI"/>
      <family val="2"/>
      <charset val="238"/>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CCFFCC"/>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249977111117893"/>
        <bgColor indexed="64"/>
      </patternFill>
    </fill>
  </fills>
  <borders count="83">
    <border>
      <left/>
      <right/>
      <top/>
      <bottom/>
      <diagonal/>
    </border>
    <border>
      <left style="hair">
        <color indexed="64"/>
      </left>
      <right/>
      <top/>
      <bottom style="hair">
        <color indexed="64"/>
      </bottom>
      <diagonal/>
    </border>
    <border>
      <left/>
      <right/>
      <top/>
      <bottom style="hair">
        <color indexed="64"/>
      </bottom>
      <diagonal/>
    </border>
    <border>
      <left/>
      <right style="medium">
        <color indexed="12"/>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12"/>
      </left>
      <right/>
      <top/>
      <bottom/>
      <diagonal/>
    </border>
    <border>
      <left style="medium">
        <color indexed="64"/>
      </left>
      <right style="thin">
        <color indexed="64"/>
      </right>
      <top style="thin">
        <color indexed="64"/>
      </top>
      <bottom style="thin">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hair">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ck">
        <color theme="4"/>
      </left>
      <right style="thick">
        <color theme="4"/>
      </right>
      <top style="thick">
        <color theme="4"/>
      </top>
      <bottom style="thin">
        <color indexed="64"/>
      </bottom>
      <diagonal/>
    </border>
    <border>
      <left style="thick">
        <color theme="4"/>
      </left>
      <right style="thick">
        <color theme="4"/>
      </right>
      <top/>
      <bottom style="thin">
        <color indexed="64"/>
      </bottom>
      <diagonal/>
    </border>
    <border>
      <left style="thick">
        <color theme="4"/>
      </left>
      <right style="thick">
        <color theme="4"/>
      </right>
      <top/>
      <bottom style="thick">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top style="thick">
        <color theme="4"/>
      </top>
      <bottom style="thick">
        <color theme="4"/>
      </bottom>
      <diagonal/>
    </border>
    <border>
      <left/>
      <right style="thick">
        <color theme="4"/>
      </right>
      <top/>
      <bottom/>
      <diagonal/>
    </border>
    <border>
      <left/>
      <right style="medium">
        <color indexed="64"/>
      </right>
      <top/>
      <bottom/>
      <diagonal/>
    </border>
    <border>
      <left style="hair">
        <color theme="8" tint="-0.24994659260841701"/>
      </left>
      <right/>
      <top style="hair">
        <color theme="8" tint="-0.24994659260841701"/>
      </top>
      <bottom/>
      <diagonal/>
    </border>
    <border>
      <left/>
      <right/>
      <top style="hair">
        <color theme="8" tint="-0.24994659260841701"/>
      </top>
      <bottom/>
      <diagonal/>
    </border>
    <border>
      <left/>
      <right style="hair">
        <color theme="8" tint="-0.24994659260841701"/>
      </right>
      <top style="hair">
        <color theme="8" tint="-0.24994659260841701"/>
      </top>
      <bottom/>
      <diagonal/>
    </border>
    <border>
      <left style="hair">
        <color theme="8" tint="-0.24994659260841701"/>
      </left>
      <right/>
      <top/>
      <bottom/>
      <diagonal/>
    </border>
    <border>
      <left/>
      <right style="hair">
        <color theme="8" tint="-0.24994659260841701"/>
      </right>
      <top/>
      <bottom/>
      <diagonal/>
    </border>
    <border>
      <left style="hair">
        <color theme="8" tint="-0.24994659260841701"/>
      </left>
      <right/>
      <top/>
      <bottom style="hair">
        <color theme="8" tint="-0.24994659260841701"/>
      </bottom>
      <diagonal/>
    </border>
    <border>
      <left/>
      <right/>
      <top/>
      <bottom style="hair">
        <color theme="8" tint="-0.24994659260841701"/>
      </bottom>
      <diagonal/>
    </border>
    <border>
      <left/>
      <right style="hair">
        <color theme="8" tint="-0.24994659260841701"/>
      </right>
      <top/>
      <bottom style="hair">
        <color theme="8" tint="-0.24994659260841701"/>
      </bottom>
      <diagonal/>
    </border>
    <border>
      <left style="thick">
        <color theme="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medium">
        <color indexed="64"/>
      </bottom>
      <diagonal/>
    </border>
    <border>
      <left style="medium">
        <color indexed="64"/>
      </left>
      <right style="thin">
        <color indexed="64"/>
      </right>
      <top/>
      <bottom style="thick">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338">
    <xf numFmtId="0" fontId="0" fillId="0" borderId="0" xfId="0"/>
    <xf numFmtId="0" fontId="4" fillId="0" borderId="0" xfId="0" applyFont="1" applyFill="1" applyProtection="1">
      <protection hidden="1"/>
    </xf>
    <xf numFmtId="0" fontId="3" fillId="0" borderId="0" xfId="0" applyFont="1" applyFill="1" applyProtection="1">
      <protection hidden="1"/>
    </xf>
    <xf numFmtId="5" fontId="3" fillId="0" borderId="0" xfId="0" applyNumberFormat="1" applyFont="1" applyFill="1" applyProtection="1">
      <protection hidden="1"/>
    </xf>
    <xf numFmtId="0" fontId="9" fillId="0" borderId="0" xfId="0" applyFont="1" applyFill="1" applyAlignment="1" applyProtection="1">
      <alignment horizontal="center"/>
      <protection hidden="1"/>
    </xf>
    <xf numFmtId="0" fontId="11" fillId="0" borderId="0" xfId="0" applyFont="1" applyFill="1" applyAlignment="1" applyProtection="1">
      <alignment horizontal="center"/>
      <protection hidden="1"/>
    </xf>
    <xf numFmtId="44" fontId="6" fillId="0" borderId="4" xfId="3" applyFont="1" applyFill="1" applyBorder="1" applyAlignment="1" applyProtection="1">
      <protection hidden="1"/>
    </xf>
    <xf numFmtId="0" fontId="7" fillId="0" borderId="4" xfId="0" applyFont="1" applyFill="1" applyBorder="1" applyAlignment="1" applyProtection="1">
      <alignment horizontal="center"/>
      <protection hidden="1"/>
    </xf>
    <xf numFmtId="9" fontId="6" fillId="0" borderId="4" xfId="0" applyNumberFormat="1" applyFont="1" applyFill="1" applyBorder="1" applyAlignment="1" applyProtection="1">
      <protection hidden="1"/>
    </xf>
    <xf numFmtId="44" fontId="6" fillId="0" borderId="4" xfId="3" applyFont="1" applyFill="1" applyBorder="1" applyProtection="1">
      <protection hidden="1"/>
    </xf>
    <xf numFmtId="0" fontId="7" fillId="0" borderId="4" xfId="0" applyFont="1" applyFill="1" applyBorder="1" applyAlignment="1" applyProtection="1">
      <alignment horizontal="center" vertical="center"/>
      <protection hidden="1"/>
    </xf>
    <xf numFmtId="9" fontId="6" fillId="0" borderId="4" xfId="0" applyNumberFormat="1" applyFont="1" applyFill="1" applyBorder="1" applyProtection="1">
      <protection hidden="1"/>
    </xf>
    <xf numFmtId="0" fontId="0" fillId="0" borderId="0" xfId="0" applyBorder="1" applyProtection="1">
      <protection hidden="1"/>
    </xf>
    <xf numFmtId="5" fontId="8" fillId="2" borderId="0" xfId="0" applyNumberFormat="1" applyFont="1" applyFill="1" applyBorder="1" applyAlignment="1" applyProtection="1">
      <alignment horizontal="center" vertical="center" wrapText="1"/>
      <protection hidden="1"/>
    </xf>
    <xf numFmtId="5" fontId="12" fillId="2" borderId="8" xfId="0" applyNumberFormat="1" applyFont="1" applyFill="1" applyBorder="1" applyAlignment="1" applyProtection="1">
      <alignment horizontal="center" vertical="center" wrapText="1"/>
      <protection hidden="1"/>
    </xf>
    <xf numFmtId="165" fontId="20" fillId="2" borderId="6" xfId="1" applyNumberFormat="1" applyFont="1" applyFill="1" applyBorder="1" applyAlignment="1" applyProtection="1">
      <alignment horizontal="center" vertical="center"/>
      <protection hidden="1"/>
    </xf>
    <xf numFmtId="4" fontId="21" fillId="2" borderId="28" xfId="3" applyNumberFormat="1" applyFont="1" applyFill="1" applyBorder="1" applyAlignment="1" applyProtection="1">
      <alignment horizontal="center" vertical="center"/>
      <protection hidden="1"/>
    </xf>
    <xf numFmtId="4" fontId="18" fillId="2" borderId="27" xfId="3" applyNumberFormat="1" applyFont="1" applyFill="1" applyBorder="1" applyAlignment="1" applyProtection="1">
      <alignment horizontal="center" vertical="center"/>
      <protection hidden="1"/>
    </xf>
    <xf numFmtId="4" fontId="18" fillId="2" borderId="28" xfId="3" applyNumberFormat="1" applyFont="1" applyFill="1" applyBorder="1" applyAlignment="1" applyProtection="1">
      <alignment horizontal="center" vertical="center"/>
      <protection hidden="1"/>
    </xf>
    <xf numFmtId="0" fontId="18" fillId="2" borderId="30" xfId="0" applyFont="1" applyFill="1" applyBorder="1" applyProtection="1">
      <protection hidden="1"/>
    </xf>
    <xf numFmtId="10" fontId="6" fillId="3" borderId="31" xfId="0" applyNumberFormat="1" applyFont="1" applyFill="1" applyBorder="1" applyAlignment="1" applyProtection="1">
      <alignment horizontal="center"/>
      <protection hidden="1"/>
    </xf>
    <xf numFmtId="44" fontId="6" fillId="3" borderId="31" xfId="3" applyFont="1" applyFill="1" applyBorder="1" applyAlignment="1" applyProtection="1">
      <alignment horizontal="center"/>
      <protection hidden="1"/>
    </xf>
    <xf numFmtId="0" fontId="24" fillId="0" borderId="32" xfId="0" applyFont="1" applyFill="1" applyBorder="1" applyAlignment="1" applyProtection="1">
      <alignment horizontal="center" wrapText="1"/>
      <protection hidden="1"/>
    </xf>
    <xf numFmtId="10" fontId="25" fillId="2" borderId="33" xfId="0" applyNumberFormat="1" applyFont="1" applyFill="1" applyBorder="1" applyAlignment="1" applyProtection="1">
      <alignment horizontal="center"/>
      <protection hidden="1"/>
    </xf>
    <xf numFmtId="10" fontId="25" fillId="2" borderId="34" xfId="0" applyNumberFormat="1" applyFont="1" applyFill="1" applyBorder="1" applyAlignment="1" applyProtection="1">
      <alignment horizontal="center"/>
      <protection hidden="1"/>
    </xf>
    <xf numFmtId="5" fontId="26" fillId="2" borderId="34" xfId="0" applyNumberFormat="1" applyFont="1" applyFill="1" applyBorder="1" applyAlignment="1" applyProtection="1">
      <alignment horizontal="center" wrapText="1"/>
      <protection hidden="1"/>
    </xf>
    <xf numFmtId="5" fontId="25" fillId="2" borderId="34" xfId="0" applyNumberFormat="1" applyFont="1" applyFill="1" applyBorder="1" applyAlignment="1" applyProtection="1">
      <alignment horizontal="center" wrapText="1"/>
      <protection hidden="1"/>
    </xf>
    <xf numFmtId="5" fontId="25" fillId="2" borderId="13" xfId="0" applyNumberFormat="1" applyFont="1" applyFill="1" applyBorder="1" applyAlignment="1" applyProtection="1">
      <alignment horizontal="center" wrapText="1"/>
      <protection hidden="1"/>
    </xf>
    <xf numFmtId="5" fontId="26" fillId="2" borderId="13" xfId="0" applyNumberFormat="1" applyFont="1" applyFill="1" applyBorder="1" applyAlignment="1" applyProtection="1">
      <alignment horizontal="center" wrapText="1"/>
      <protection hidden="1"/>
    </xf>
    <xf numFmtId="5" fontId="27" fillId="2" borderId="30" xfId="0" applyNumberFormat="1" applyFont="1" applyFill="1" applyBorder="1" applyAlignment="1" applyProtection="1">
      <alignment horizontal="center" wrapText="1"/>
      <protection hidden="1"/>
    </xf>
    <xf numFmtId="0" fontId="17" fillId="0" borderId="0" xfId="0" applyFont="1" applyFill="1" applyProtection="1">
      <protection hidden="1"/>
    </xf>
    <xf numFmtId="4" fontId="3" fillId="0" borderId="0" xfId="0" applyNumberFormat="1" applyFont="1" applyFill="1" applyProtection="1">
      <protection hidden="1"/>
    </xf>
    <xf numFmtId="0" fontId="6" fillId="0" borderId="0" xfId="0" applyFont="1" applyFill="1" applyProtection="1">
      <protection hidden="1"/>
    </xf>
    <xf numFmtId="0" fontId="10" fillId="0" borderId="0" xfId="0" applyFont="1" applyFill="1" applyProtection="1">
      <protection hidden="1"/>
    </xf>
    <xf numFmtId="166" fontId="3" fillId="0" borderId="0" xfId="0" applyNumberFormat="1" applyFont="1" applyFill="1" applyProtection="1">
      <protection hidden="1"/>
    </xf>
    <xf numFmtId="44" fontId="6" fillId="0" borderId="0" xfId="3" applyFont="1"/>
    <xf numFmtId="4" fontId="0" fillId="0" borderId="0" xfId="0" applyNumberFormat="1"/>
    <xf numFmtId="10" fontId="0" fillId="0" borderId="0" xfId="2" applyNumberFormat="1" applyFont="1"/>
    <xf numFmtId="5" fontId="12" fillId="2" borderId="35" xfId="0" applyNumberFormat="1" applyFont="1" applyFill="1" applyBorder="1" applyAlignment="1" applyProtection="1">
      <alignment horizontal="center" vertical="center" wrapText="1"/>
      <protection hidden="1"/>
    </xf>
    <xf numFmtId="5" fontId="12" fillId="2" borderId="0" xfId="0" applyNumberFormat="1" applyFont="1" applyFill="1" applyBorder="1" applyAlignment="1" applyProtection="1">
      <alignment horizontal="center" vertical="center" wrapText="1"/>
      <protection hidden="1"/>
    </xf>
    <xf numFmtId="9" fontId="20" fillId="2" borderId="6" xfId="2" applyFont="1" applyFill="1" applyBorder="1" applyAlignment="1" applyProtection="1">
      <alignment horizontal="center" vertical="center"/>
      <protection hidden="1"/>
    </xf>
    <xf numFmtId="43" fontId="20" fillId="2" borderId="6" xfId="1" applyNumberFormat="1" applyFont="1" applyFill="1" applyBorder="1" applyAlignment="1" applyProtection="1">
      <alignment horizontal="center" vertical="center"/>
      <protection hidden="1"/>
    </xf>
    <xf numFmtId="10" fontId="0" fillId="0" borderId="0" xfId="0" applyNumberFormat="1"/>
    <xf numFmtId="4" fontId="19" fillId="2" borderId="19" xfId="3" applyNumberFormat="1" applyFont="1" applyFill="1" applyBorder="1" applyAlignment="1" applyProtection="1">
      <alignment horizontal="center" vertical="center"/>
      <protection hidden="1"/>
    </xf>
    <xf numFmtId="4" fontId="19" fillId="2" borderId="29" xfId="3" applyNumberFormat="1" applyFont="1" applyFill="1" applyBorder="1" applyAlignment="1" applyProtection="1">
      <alignment horizontal="center" vertical="center"/>
      <protection hidden="1"/>
    </xf>
    <xf numFmtId="164" fontId="20" fillId="2" borderId="16" xfId="1" applyNumberFormat="1" applyFont="1" applyFill="1" applyBorder="1" applyAlignment="1" applyProtection="1">
      <alignment horizontal="center" vertical="center"/>
      <protection hidden="1"/>
    </xf>
    <xf numFmtId="166" fontId="20" fillId="2" borderId="16" xfId="1" applyNumberFormat="1" applyFont="1" applyFill="1" applyBorder="1" applyAlignment="1" applyProtection="1">
      <alignment horizontal="center" vertical="center"/>
      <protection hidden="1"/>
    </xf>
    <xf numFmtId="166" fontId="21" fillId="2" borderId="26" xfId="1" applyNumberFormat="1" applyFont="1" applyFill="1" applyBorder="1" applyAlignment="1" applyProtection="1">
      <alignment horizontal="center" vertical="center"/>
      <protection hidden="1"/>
    </xf>
    <xf numFmtId="4" fontId="19" fillId="2" borderId="18" xfId="3" applyNumberFormat="1" applyFont="1" applyFill="1" applyBorder="1" applyAlignment="1" applyProtection="1">
      <alignment horizontal="center" vertical="center"/>
      <protection hidden="1"/>
    </xf>
    <xf numFmtId="4" fontId="20" fillId="2" borderId="18" xfId="3" applyNumberFormat="1" applyFont="1" applyFill="1" applyBorder="1" applyAlignment="1" applyProtection="1">
      <alignment horizontal="center" vertical="center"/>
      <protection hidden="1"/>
    </xf>
    <xf numFmtId="2" fontId="20" fillId="2" borderId="18" xfId="1" applyNumberFormat="1" applyFont="1" applyFill="1" applyBorder="1" applyAlignment="1" applyProtection="1">
      <alignment horizontal="center" vertical="center"/>
      <protection hidden="1"/>
    </xf>
    <xf numFmtId="4" fontId="17" fillId="2" borderId="17" xfId="3" applyNumberFormat="1" applyFont="1" applyFill="1" applyBorder="1" applyAlignment="1" applyProtection="1">
      <alignment horizontal="center" vertical="center"/>
      <protection hidden="1"/>
    </xf>
    <xf numFmtId="4" fontId="17" fillId="2" borderId="18" xfId="3" applyNumberFormat="1" applyFont="1" applyFill="1" applyBorder="1" applyAlignment="1" applyProtection="1">
      <alignment horizontal="center" vertical="center"/>
      <protection hidden="1"/>
    </xf>
    <xf numFmtId="2" fontId="17" fillId="2" borderId="18" xfId="1" applyNumberFormat="1" applyFont="1" applyFill="1" applyBorder="1" applyAlignment="1" applyProtection="1">
      <alignment horizontal="center" vertical="center"/>
      <protection hidden="1"/>
    </xf>
    <xf numFmtId="4" fontId="17" fillId="2" borderId="22" xfId="3" applyNumberFormat="1" applyFont="1" applyFill="1" applyBorder="1" applyAlignment="1" applyProtection="1">
      <alignment horizontal="center" vertical="center"/>
      <protection hidden="1"/>
    </xf>
    <xf numFmtId="4" fontId="17" fillId="2" borderId="23" xfId="3" applyNumberFormat="1" applyFont="1" applyFill="1" applyBorder="1" applyAlignment="1" applyProtection="1">
      <alignment horizontal="center" vertical="center"/>
      <protection hidden="1"/>
    </xf>
    <xf numFmtId="2" fontId="21" fillId="2" borderId="28" xfId="1" applyNumberFormat="1" applyFont="1" applyFill="1" applyBorder="1" applyAlignment="1" applyProtection="1">
      <alignment horizontal="center" vertical="center"/>
      <protection hidden="1"/>
    </xf>
    <xf numFmtId="2" fontId="21" fillId="2" borderId="26" xfId="1" applyNumberFormat="1" applyFont="1" applyFill="1" applyBorder="1" applyAlignment="1" applyProtection="1">
      <alignment horizontal="center" vertical="center"/>
      <protection hidden="1"/>
    </xf>
    <xf numFmtId="2" fontId="18" fillId="2" borderId="28" xfId="1" applyNumberFormat="1" applyFont="1" applyFill="1" applyBorder="1" applyAlignment="1" applyProtection="1">
      <alignment horizontal="center" vertical="center"/>
      <protection hidden="1"/>
    </xf>
    <xf numFmtId="4" fontId="19" fillId="2" borderId="23" xfId="3" applyNumberFormat="1" applyFont="1" applyFill="1" applyBorder="1" applyAlignment="1" applyProtection="1">
      <alignment horizontal="center" vertical="center"/>
      <protection hidden="1"/>
    </xf>
    <xf numFmtId="2" fontId="17" fillId="2" borderId="23" xfId="1" applyNumberFormat="1" applyFont="1" applyFill="1" applyBorder="1" applyAlignment="1" applyProtection="1">
      <alignment horizontal="center" vertical="center"/>
      <protection hidden="1"/>
    </xf>
    <xf numFmtId="4" fontId="19" fillId="2" borderId="24" xfId="3"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wrapText="1"/>
      <protection hidden="1"/>
    </xf>
    <xf numFmtId="5" fontId="8" fillId="2" borderId="37" xfId="0" applyNumberFormat="1" applyFont="1" applyFill="1" applyBorder="1" applyAlignment="1" applyProtection="1">
      <alignment vertical="center" wrapText="1"/>
      <protection hidden="1"/>
    </xf>
    <xf numFmtId="5" fontId="8" fillId="2" borderId="38" xfId="0" applyNumberFormat="1" applyFont="1" applyFill="1" applyBorder="1" applyAlignment="1" applyProtection="1">
      <alignment vertical="center" wrapText="1"/>
      <protection hidden="1"/>
    </xf>
    <xf numFmtId="5" fontId="8" fillId="2" borderId="39" xfId="0" applyNumberFormat="1" applyFont="1" applyFill="1" applyBorder="1" applyAlignment="1" applyProtection="1">
      <alignment vertical="center" wrapText="1"/>
      <protection hidden="1"/>
    </xf>
    <xf numFmtId="5" fontId="13" fillId="2" borderId="7" xfId="0" applyNumberFormat="1" applyFont="1" applyFill="1" applyBorder="1" applyAlignment="1" applyProtection="1">
      <alignment vertical="center" wrapText="1"/>
      <protection hidden="1"/>
    </xf>
    <xf numFmtId="0" fontId="16" fillId="2" borderId="40" xfId="0" applyFont="1" applyFill="1" applyBorder="1" applyAlignment="1" applyProtection="1">
      <alignment vertical="center"/>
      <protection hidden="1"/>
    </xf>
    <xf numFmtId="5" fontId="12" fillId="2" borderId="9" xfId="0" applyNumberFormat="1" applyFont="1" applyFill="1" applyBorder="1" applyAlignment="1" applyProtection="1">
      <alignment vertical="center" wrapText="1"/>
      <protection hidden="1"/>
    </xf>
    <xf numFmtId="5" fontId="12" fillId="2" borderId="10" xfId="0" applyNumberFormat="1" applyFont="1" applyFill="1" applyBorder="1" applyAlignment="1" applyProtection="1">
      <alignment vertical="center" wrapText="1"/>
      <protection hidden="1"/>
    </xf>
    <xf numFmtId="5" fontId="12" fillId="2" borderId="7" xfId="0" applyNumberFormat="1" applyFont="1" applyFill="1" applyBorder="1" applyAlignment="1" applyProtection="1">
      <alignment vertical="center" wrapText="1"/>
      <protection hidden="1"/>
    </xf>
    <xf numFmtId="5" fontId="15" fillId="2" borderId="10" xfId="0" applyNumberFormat="1" applyFont="1" applyFill="1" applyBorder="1" applyAlignment="1" applyProtection="1">
      <alignment vertical="center" wrapText="1"/>
      <protection hidden="1"/>
    </xf>
    <xf numFmtId="5" fontId="13" fillId="2" borderId="21" xfId="0" applyNumberFormat="1" applyFont="1" applyFill="1" applyBorder="1" applyAlignment="1" applyProtection="1">
      <alignment vertical="center" wrapText="1"/>
      <protection hidden="1"/>
    </xf>
    <xf numFmtId="0" fontId="16" fillId="2" borderId="24" xfId="0" applyFont="1" applyFill="1" applyBorder="1" applyAlignment="1" applyProtection="1">
      <alignment vertical="center"/>
      <protection hidden="1"/>
    </xf>
    <xf numFmtId="5" fontId="12" fillId="2" borderId="22" xfId="0" applyNumberFormat="1" applyFont="1" applyFill="1" applyBorder="1" applyAlignment="1" applyProtection="1">
      <alignment vertical="center" wrapText="1"/>
      <protection hidden="1"/>
    </xf>
    <xf numFmtId="5" fontId="12" fillId="2" borderId="23" xfId="0" applyNumberFormat="1" applyFont="1" applyFill="1" applyBorder="1" applyAlignment="1" applyProtection="1">
      <alignment vertical="center" wrapText="1"/>
      <protection hidden="1"/>
    </xf>
    <xf numFmtId="5" fontId="12" fillId="2" borderId="21" xfId="0" applyNumberFormat="1" applyFont="1" applyFill="1" applyBorder="1" applyAlignment="1" applyProtection="1">
      <alignment vertical="center" wrapText="1"/>
      <protection hidden="1"/>
    </xf>
    <xf numFmtId="5" fontId="15" fillId="2" borderId="23" xfId="0" applyNumberFormat="1" applyFont="1" applyFill="1" applyBorder="1" applyAlignment="1" applyProtection="1">
      <alignment vertical="center" wrapText="1"/>
      <protection hidden="1"/>
    </xf>
    <xf numFmtId="5" fontId="13" fillId="2" borderId="7" xfId="0" applyNumberFormat="1" applyFont="1" applyFill="1" applyBorder="1" applyAlignment="1" applyProtection="1">
      <alignment horizontal="center" vertical="center" wrapText="1"/>
      <protection hidden="1"/>
    </xf>
    <xf numFmtId="5" fontId="12" fillId="2" borderId="7" xfId="0" applyNumberFormat="1" applyFont="1" applyFill="1" applyBorder="1" applyAlignment="1" applyProtection="1">
      <alignment horizontal="center" vertical="center" wrapText="1"/>
      <protection hidden="1"/>
    </xf>
    <xf numFmtId="0" fontId="30" fillId="0" borderId="0" xfId="0" applyFont="1" applyFill="1" applyProtection="1">
      <protection hidden="1"/>
    </xf>
    <xf numFmtId="0" fontId="31" fillId="0" borderId="0" xfId="0" applyFont="1" applyFill="1" applyProtection="1">
      <protection hidden="1"/>
    </xf>
    <xf numFmtId="5" fontId="31" fillId="0" borderId="0" xfId="0" applyNumberFormat="1" applyFont="1" applyFill="1" applyProtection="1">
      <protection hidden="1"/>
    </xf>
    <xf numFmtId="5" fontId="34" fillId="2" borderId="0" xfId="0" applyNumberFormat="1" applyFont="1" applyFill="1" applyBorder="1" applyAlignment="1" applyProtection="1">
      <alignment horizontal="centerContinuous"/>
      <protection hidden="1"/>
    </xf>
    <xf numFmtId="0" fontId="32" fillId="2" borderId="1" xfId="0" applyFont="1" applyFill="1" applyBorder="1" applyAlignment="1" applyProtection="1">
      <alignment horizontal="center" wrapText="1"/>
      <protection hidden="1"/>
    </xf>
    <xf numFmtId="0" fontId="32" fillId="2" borderId="2" xfId="0" applyFont="1" applyFill="1" applyBorder="1" applyAlignment="1" applyProtection="1">
      <alignment horizontal="center" wrapText="1"/>
      <protection hidden="1"/>
    </xf>
    <xf numFmtId="0" fontId="36" fillId="2" borderId="2" xfId="0" applyFont="1" applyFill="1" applyBorder="1" applyAlignment="1" applyProtection="1">
      <alignment horizontal="centerContinuous" wrapText="1"/>
      <protection hidden="1"/>
    </xf>
    <xf numFmtId="0" fontId="37" fillId="0" borderId="60" xfId="0" applyFont="1" applyFill="1" applyBorder="1" applyAlignment="1" applyProtection="1">
      <alignment horizontal="right" vertical="center" indent="2"/>
      <protection hidden="1"/>
    </xf>
    <xf numFmtId="0" fontId="39" fillId="0" borderId="0" xfId="0" applyFont="1" applyFill="1" applyProtection="1">
      <protection hidden="1"/>
    </xf>
    <xf numFmtId="0" fontId="40" fillId="0" borderId="60" xfId="0" applyFont="1" applyFill="1" applyBorder="1" applyAlignment="1" applyProtection="1">
      <alignment horizontal="right" vertical="center" indent="2"/>
      <protection hidden="1"/>
    </xf>
    <xf numFmtId="0" fontId="38" fillId="0" borderId="0" xfId="0" applyFont="1" applyFill="1" applyBorder="1" applyAlignment="1" applyProtection="1">
      <alignment horizontal="left" wrapText="1" indent="1"/>
      <protection hidden="1"/>
    </xf>
    <xf numFmtId="0" fontId="43" fillId="0" borderId="0" xfId="0" applyFont="1" applyFill="1" applyAlignment="1" applyProtection="1">
      <alignment horizontal="center"/>
      <protection hidden="1"/>
    </xf>
    <xf numFmtId="0" fontId="44" fillId="0" borderId="0" xfId="0" applyFont="1" applyFill="1" applyAlignment="1" applyProtection="1">
      <alignment horizontal="center" wrapText="1"/>
      <protection hidden="1"/>
    </xf>
    <xf numFmtId="0" fontId="44" fillId="0" borderId="0" xfId="0" applyFont="1" applyFill="1" applyAlignment="1" applyProtection="1">
      <alignment horizontal="center"/>
      <protection hidden="1"/>
    </xf>
    <xf numFmtId="44" fontId="42" fillId="0" borderId="0" xfId="3" applyFont="1" applyFill="1" applyProtection="1">
      <protection hidden="1"/>
    </xf>
    <xf numFmtId="5" fontId="45" fillId="0" borderId="0" xfId="0" applyNumberFormat="1" applyFont="1" applyFill="1" applyProtection="1">
      <protection hidden="1"/>
    </xf>
    <xf numFmtId="9" fontId="31" fillId="0" borderId="0" xfId="0" applyNumberFormat="1" applyFont="1" applyFill="1" applyProtection="1">
      <protection hidden="1"/>
    </xf>
    <xf numFmtId="5" fontId="47" fillId="2" borderId="5" xfId="0" applyNumberFormat="1" applyFont="1" applyFill="1" applyBorder="1" applyAlignment="1" applyProtection="1">
      <alignment horizontal="center" vertical="center" wrapText="1"/>
      <protection hidden="1"/>
    </xf>
    <xf numFmtId="5" fontId="47" fillId="2" borderId="6" xfId="0" applyNumberFormat="1" applyFont="1" applyFill="1" applyBorder="1" applyAlignment="1" applyProtection="1">
      <alignment horizontal="center" vertical="center" wrapText="1"/>
      <protection hidden="1"/>
    </xf>
    <xf numFmtId="0" fontId="31" fillId="0" borderId="0" xfId="0" applyFont="1" applyBorder="1" applyProtection="1">
      <protection hidden="1"/>
    </xf>
    <xf numFmtId="5" fontId="47" fillId="2" borderId="8" xfId="0" applyNumberFormat="1" applyFont="1" applyFill="1" applyBorder="1" applyAlignment="1" applyProtection="1">
      <alignment horizontal="center" vertical="center" wrapText="1"/>
      <protection hidden="1"/>
    </xf>
    <xf numFmtId="5" fontId="48" fillId="2" borderId="10" xfId="0" applyNumberFormat="1" applyFont="1" applyFill="1" applyBorder="1" applyAlignment="1" applyProtection="1">
      <alignment horizontal="center" vertical="center" wrapText="1"/>
      <protection hidden="1"/>
    </xf>
    <xf numFmtId="0" fontId="50" fillId="0" borderId="0" xfId="0" applyFont="1" applyFill="1" applyProtection="1">
      <protection hidden="1"/>
    </xf>
    <xf numFmtId="5" fontId="48" fillId="2" borderId="13" xfId="0" applyNumberFormat="1" applyFont="1" applyFill="1" applyBorder="1" applyAlignment="1" applyProtection="1">
      <alignment horizontal="center" vertical="center" wrapText="1"/>
      <protection hidden="1"/>
    </xf>
    <xf numFmtId="10" fontId="51" fillId="2" borderId="33" xfId="0" applyNumberFormat="1" applyFont="1" applyFill="1" applyBorder="1" applyAlignment="1" applyProtection="1">
      <alignment horizontal="center"/>
      <protection hidden="1"/>
    </xf>
    <xf numFmtId="10" fontId="51" fillId="2" borderId="34" xfId="0" applyNumberFormat="1" applyFont="1" applyFill="1" applyBorder="1" applyAlignment="1" applyProtection="1">
      <alignment horizontal="center"/>
      <protection hidden="1"/>
    </xf>
    <xf numFmtId="5" fontId="52" fillId="2" borderId="34" xfId="0" applyNumberFormat="1" applyFont="1" applyFill="1" applyBorder="1" applyAlignment="1" applyProtection="1">
      <alignment horizontal="center" wrapText="1"/>
      <protection hidden="1"/>
    </xf>
    <xf numFmtId="4" fontId="31" fillId="2" borderId="53" xfId="3" applyNumberFormat="1" applyFont="1" applyFill="1" applyBorder="1" applyAlignment="1" applyProtection="1">
      <alignment horizontal="center" vertical="center"/>
      <protection hidden="1"/>
    </xf>
    <xf numFmtId="4" fontId="54" fillId="2" borderId="14" xfId="3" applyNumberFormat="1" applyFont="1" applyFill="1" applyBorder="1" applyAlignment="1" applyProtection="1">
      <alignment horizontal="center" vertical="center"/>
      <protection hidden="1"/>
    </xf>
    <xf numFmtId="4" fontId="50" fillId="2" borderId="17" xfId="3" applyNumberFormat="1" applyFont="1" applyFill="1" applyBorder="1" applyAlignment="1" applyProtection="1">
      <alignment horizontal="center" vertical="center"/>
      <protection hidden="1"/>
    </xf>
    <xf numFmtId="4" fontId="50" fillId="2" borderId="18" xfId="3" applyNumberFormat="1" applyFont="1" applyFill="1" applyBorder="1" applyAlignment="1" applyProtection="1">
      <alignment horizontal="center" vertical="center"/>
      <protection hidden="1"/>
    </xf>
    <xf numFmtId="4" fontId="31" fillId="0" borderId="0" xfId="0" applyNumberFormat="1" applyFont="1" applyFill="1" applyProtection="1">
      <protection hidden="1"/>
    </xf>
    <xf numFmtId="4" fontId="31" fillId="2" borderId="0" xfId="3" applyNumberFormat="1" applyFont="1" applyFill="1" applyBorder="1" applyAlignment="1" applyProtection="1">
      <alignment horizontal="center" vertical="center"/>
      <protection hidden="1"/>
    </xf>
    <xf numFmtId="2" fontId="56" fillId="2" borderId="25" xfId="1" applyNumberFormat="1" applyFont="1" applyFill="1" applyBorder="1" applyAlignment="1" applyProtection="1">
      <alignment vertical="center"/>
      <protection hidden="1"/>
    </xf>
    <xf numFmtId="2" fontId="56" fillId="2" borderId="26" xfId="1" applyNumberFormat="1" applyFont="1" applyFill="1" applyBorder="1" applyAlignment="1" applyProtection="1">
      <alignment horizontal="center" vertical="center"/>
      <protection hidden="1"/>
    </xf>
    <xf numFmtId="4" fontId="53" fillId="2" borderId="27" xfId="3" applyNumberFormat="1" applyFont="1" applyFill="1" applyBorder="1" applyAlignment="1" applyProtection="1">
      <alignment horizontal="center" vertical="center"/>
      <protection hidden="1"/>
    </xf>
    <xf numFmtId="4" fontId="53" fillId="2" borderId="28" xfId="3" applyNumberFormat="1" applyFont="1" applyFill="1" applyBorder="1" applyAlignment="1" applyProtection="1">
      <alignment horizontal="center" vertical="center"/>
      <protection hidden="1"/>
    </xf>
    <xf numFmtId="2" fontId="53" fillId="2" borderId="28" xfId="1" applyNumberFormat="1" applyFont="1" applyFill="1" applyBorder="1" applyAlignment="1" applyProtection="1">
      <alignment horizontal="center" vertical="center"/>
      <protection hidden="1"/>
    </xf>
    <xf numFmtId="0" fontId="45" fillId="0" borderId="0" xfId="0" applyFont="1" applyFill="1" applyProtection="1">
      <protection hidden="1"/>
    </xf>
    <xf numFmtId="10" fontId="58" fillId="0" borderId="0" xfId="2" applyNumberFormat="1" applyFont="1" applyFill="1" applyBorder="1" applyAlignment="1" applyProtection="1">
      <protection hidden="1"/>
    </xf>
    <xf numFmtId="4" fontId="42" fillId="2" borderId="17" xfId="3" applyNumberFormat="1" applyFont="1" applyFill="1" applyBorder="1" applyAlignment="1" applyProtection="1">
      <alignment horizontal="center" vertical="center"/>
      <protection hidden="1"/>
    </xf>
    <xf numFmtId="4" fontId="42" fillId="2" borderId="18" xfId="3" applyNumberFormat="1" applyFont="1" applyFill="1" applyBorder="1" applyAlignment="1" applyProtection="1">
      <alignment horizontal="center" vertical="center"/>
      <protection hidden="1"/>
    </xf>
    <xf numFmtId="165" fontId="42" fillId="2" borderId="6" xfId="1" applyNumberFormat="1" applyFont="1" applyFill="1" applyBorder="1" applyAlignment="1" applyProtection="1">
      <alignment horizontal="center" vertical="center"/>
      <protection hidden="1"/>
    </xf>
    <xf numFmtId="164" fontId="42" fillId="2" borderId="16" xfId="1" applyNumberFormat="1" applyFont="1" applyFill="1" applyBorder="1" applyAlignment="1" applyProtection="1">
      <alignment horizontal="center" vertical="center"/>
      <protection hidden="1"/>
    </xf>
    <xf numFmtId="166" fontId="42" fillId="2" borderId="16" xfId="1" applyNumberFormat="1" applyFont="1" applyFill="1" applyBorder="1" applyAlignment="1" applyProtection="1">
      <alignment horizontal="center" vertical="center"/>
      <protection hidden="1"/>
    </xf>
    <xf numFmtId="4" fontId="55" fillId="2" borderId="27" xfId="3" applyNumberFormat="1" applyFont="1" applyFill="1" applyBorder="1" applyAlignment="1" applyProtection="1">
      <alignment horizontal="center" vertical="center"/>
      <protection hidden="1"/>
    </xf>
    <xf numFmtId="4" fontId="55" fillId="2" borderId="28" xfId="3" applyNumberFormat="1" applyFont="1" applyFill="1" applyBorder="1" applyAlignment="1" applyProtection="1">
      <alignment horizontal="center" vertical="center"/>
      <protection hidden="1"/>
    </xf>
    <xf numFmtId="2" fontId="55" fillId="2" borderId="28" xfId="1" applyNumberFormat="1" applyFont="1" applyFill="1" applyBorder="1" applyAlignment="1" applyProtection="1">
      <alignment horizontal="center" vertical="center"/>
      <protection hidden="1"/>
    </xf>
    <xf numFmtId="2" fontId="55" fillId="2" borderId="26" xfId="1" applyNumberFormat="1" applyFont="1" applyFill="1" applyBorder="1" applyAlignment="1" applyProtection="1">
      <alignment horizontal="center" vertical="center"/>
      <protection hidden="1"/>
    </xf>
    <xf numFmtId="166" fontId="55" fillId="2" borderId="26" xfId="1" applyNumberFormat="1" applyFont="1" applyFill="1" applyBorder="1" applyAlignment="1" applyProtection="1">
      <alignment horizontal="center" vertical="center"/>
      <protection hidden="1"/>
    </xf>
    <xf numFmtId="0" fontId="37" fillId="0" borderId="3" xfId="0" applyFont="1" applyFill="1" applyBorder="1" applyAlignment="1" applyProtection="1">
      <alignment horizontal="right" vertical="center" indent="2"/>
      <protection hidden="1"/>
    </xf>
    <xf numFmtId="0" fontId="31" fillId="0" borderId="45" xfId="0" applyFont="1" applyBorder="1" applyAlignment="1" applyProtection="1"/>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right" vertical="center"/>
      <protection hidden="1"/>
    </xf>
    <xf numFmtId="10" fontId="41" fillId="2" borderId="43" xfId="2" applyNumberFormat="1" applyFont="1" applyFill="1" applyBorder="1" applyAlignment="1" applyProtection="1">
      <alignment vertical="center"/>
      <protection hidden="1"/>
    </xf>
    <xf numFmtId="10" fontId="45" fillId="2" borderId="45" xfId="3" applyNumberFormat="1" applyFont="1" applyFill="1" applyBorder="1" applyAlignment="1" applyProtection="1">
      <alignment vertical="center"/>
      <protection hidden="1"/>
    </xf>
    <xf numFmtId="0" fontId="42" fillId="0" borderId="41" xfId="0" applyFont="1" applyFill="1" applyBorder="1" applyAlignment="1" applyProtection="1">
      <alignment wrapText="1"/>
      <protection hidden="1"/>
    </xf>
    <xf numFmtId="0" fontId="42" fillId="0" borderId="0" xfId="0" applyFont="1" applyFill="1" applyBorder="1" applyAlignment="1" applyProtection="1">
      <alignment wrapText="1"/>
      <protection hidden="1"/>
    </xf>
    <xf numFmtId="5" fontId="44" fillId="2" borderId="48" xfId="0" applyNumberFormat="1" applyFont="1" applyFill="1" applyBorder="1" applyAlignment="1" applyProtection="1">
      <alignment vertical="center" wrapText="1"/>
      <protection hidden="1"/>
    </xf>
    <xf numFmtId="5" fontId="44" fillId="2" borderId="49" xfId="0" applyNumberFormat="1" applyFont="1" applyFill="1" applyBorder="1" applyAlignment="1" applyProtection="1">
      <alignment vertical="center" wrapText="1"/>
      <protection hidden="1"/>
    </xf>
    <xf numFmtId="5" fontId="44" fillId="2" borderId="50" xfId="0" applyNumberFormat="1" applyFont="1" applyFill="1" applyBorder="1" applyAlignment="1" applyProtection="1">
      <alignment vertical="center" wrapText="1"/>
      <protection hidden="1"/>
    </xf>
    <xf numFmtId="5" fontId="49" fillId="2" borderId="9" xfId="0" applyNumberFormat="1" applyFont="1" applyFill="1" applyBorder="1" applyAlignment="1" applyProtection="1">
      <alignment horizontal="center" vertical="center" wrapText="1"/>
      <protection hidden="1"/>
    </xf>
    <xf numFmtId="5" fontId="49" fillId="2" borderId="10" xfId="0" applyNumberFormat="1" applyFont="1" applyFill="1" applyBorder="1" applyAlignment="1" applyProtection="1">
      <alignment horizontal="center" vertical="center" wrapText="1"/>
      <protection hidden="1"/>
    </xf>
    <xf numFmtId="2" fontId="64" fillId="2" borderId="18" xfId="1" applyNumberFormat="1" applyFont="1" applyFill="1" applyBorder="1" applyAlignment="1" applyProtection="1">
      <alignment horizontal="center" vertical="center"/>
      <protection hidden="1"/>
    </xf>
    <xf numFmtId="4" fontId="31" fillId="2" borderId="15" xfId="3" applyNumberFormat="1" applyFont="1" applyFill="1" applyBorder="1" applyAlignment="1" applyProtection="1">
      <alignment horizontal="center" vertical="center"/>
      <protection hidden="1"/>
    </xf>
    <xf numFmtId="4" fontId="31" fillId="2" borderId="16" xfId="3" applyNumberFormat="1" applyFont="1" applyFill="1" applyBorder="1" applyAlignment="1" applyProtection="1">
      <alignment horizontal="center" vertical="center"/>
      <protection hidden="1"/>
    </xf>
    <xf numFmtId="2" fontId="64" fillId="2" borderId="23" xfId="1" applyNumberFormat="1" applyFont="1" applyFill="1" applyBorder="1" applyAlignment="1" applyProtection="1">
      <alignment horizontal="center" vertical="center"/>
      <protection hidden="1"/>
    </xf>
    <xf numFmtId="4" fontId="31" fillId="2" borderId="21" xfId="3" applyNumberFormat="1" applyFont="1" applyFill="1" applyBorder="1" applyAlignment="1" applyProtection="1">
      <alignment horizontal="center" vertical="center"/>
      <protection hidden="1"/>
    </xf>
    <xf numFmtId="10" fontId="58" fillId="0" borderId="25" xfId="2" applyNumberFormat="1" applyFont="1" applyFill="1" applyBorder="1" applyAlignment="1" applyProtection="1">
      <alignment horizontal="center"/>
      <protection hidden="1"/>
    </xf>
    <xf numFmtId="0" fontId="57" fillId="0" borderId="0" xfId="0" applyFont="1" applyFill="1" applyProtection="1">
      <protection hidden="1"/>
    </xf>
    <xf numFmtId="4" fontId="31" fillId="0" borderId="0" xfId="0" quotePrefix="1" applyNumberFormat="1" applyFont="1" applyFill="1" applyProtection="1">
      <protection hidden="1"/>
    </xf>
    <xf numFmtId="5" fontId="41" fillId="2" borderId="11" xfId="0" applyNumberFormat="1" applyFont="1" applyFill="1" applyBorder="1" applyAlignment="1" applyProtection="1">
      <alignment horizontal="center" vertical="center" wrapText="1"/>
      <protection hidden="1"/>
    </xf>
    <xf numFmtId="5" fontId="41" fillId="2" borderId="12" xfId="0" applyNumberFormat="1" applyFont="1" applyFill="1" applyBorder="1" applyAlignment="1" applyProtection="1">
      <alignment horizontal="center" vertical="center" wrapText="1"/>
      <protection hidden="1"/>
    </xf>
    <xf numFmtId="5" fontId="41" fillId="2" borderId="13" xfId="0" applyNumberFormat="1" applyFont="1" applyFill="1" applyBorder="1" applyAlignment="1" applyProtection="1">
      <alignment horizontal="center" vertical="center" wrapText="1"/>
      <protection hidden="1"/>
    </xf>
    <xf numFmtId="5" fontId="60" fillId="2" borderId="11" xfId="0" applyNumberFormat="1" applyFont="1" applyFill="1" applyBorder="1" applyAlignment="1" applyProtection="1">
      <alignment horizontal="center" vertical="center" wrapText="1"/>
      <protection hidden="1"/>
    </xf>
    <xf numFmtId="165" fontId="31" fillId="2" borderId="14" xfId="1" applyNumberFormat="1" applyFont="1" applyFill="1" applyBorder="1" applyAlignment="1" applyProtection="1">
      <alignment horizontal="center" vertical="center"/>
      <protection hidden="1"/>
    </xf>
    <xf numFmtId="165" fontId="31" fillId="2" borderId="20" xfId="1" applyNumberFormat="1" applyFont="1" applyFill="1" applyBorder="1" applyAlignment="1" applyProtection="1">
      <alignment horizontal="center" vertical="center"/>
      <protection hidden="1"/>
    </xf>
    <xf numFmtId="2" fontId="45" fillId="2" borderId="25" xfId="1" applyNumberFormat="1" applyFont="1" applyFill="1" applyBorder="1" applyAlignment="1" applyProtection="1">
      <alignment vertical="center"/>
      <protection hidden="1"/>
    </xf>
    <xf numFmtId="4" fontId="54" fillId="2" borderId="25" xfId="3" applyNumberFormat="1" applyFont="1" applyFill="1" applyBorder="1" applyAlignment="1" applyProtection="1">
      <alignment horizontal="center" vertical="center"/>
      <protection hidden="1"/>
    </xf>
    <xf numFmtId="0" fontId="66" fillId="0" borderId="0" xfId="0" applyFont="1" applyFill="1" applyProtection="1">
      <protection hidden="1"/>
    </xf>
    <xf numFmtId="0" fontId="31" fillId="4" borderId="0" xfId="0" applyFont="1" applyFill="1" applyProtection="1">
      <protection hidden="1"/>
    </xf>
    <xf numFmtId="10" fontId="41" fillId="4" borderId="43" xfId="2" applyNumberFormat="1" applyFont="1" applyFill="1" applyBorder="1" applyAlignment="1" applyProtection="1">
      <alignment vertical="center"/>
      <protection hidden="1"/>
    </xf>
    <xf numFmtId="4" fontId="69" fillId="2" borderId="25" xfId="3" applyNumberFormat="1" applyFont="1" applyFill="1" applyBorder="1" applyAlignment="1" applyProtection="1">
      <alignment horizontal="center" vertical="center"/>
      <protection hidden="1"/>
    </xf>
    <xf numFmtId="4" fontId="67" fillId="2" borderId="14" xfId="3" applyNumberFormat="1" applyFont="1" applyFill="1" applyBorder="1" applyAlignment="1" applyProtection="1">
      <alignment horizontal="center" vertical="center"/>
      <protection hidden="1"/>
    </xf>
    <xf numFmtId="4" fontId="70" fillId="2" borderId="25" xfId="3" applyNumberFormat="1" applyFont="1" applyFill="1" applyBorder="1" applyAlignment="1" applyProtection="1">
      <alignment horizontal="center" vertical="center"/>
      <protection hidden="1"/>
    </xf>
    <xf numFmtId="5" fontId="46" fillId="7" borderId="0" xfId="0" applyNumberFormat="1" applyFont="1" applyFill="1" applyBorder="1" applyAlignment="1" applyProtection="1">
      <alignment horizontal="center" vertical="center" wrapText="1"/>
      <protection hidden="1"/>
    </xf>
    <xf numFmtId="4" fontId="42" fillId="7" borderId="17" xfId="3" applyNumberFormat="1" applyFont="1" applyFill="1" applyBorder="1" applyAlignment="1" applyProtection="1">
      <alignment horizontal="center" vertical="center"/>
      <protection hidden="1"/>
    </xf>
    <xf numFmtId="4" fontId="42" fillId="7" borderId="18" xfId="3" applyNumberFormat="1" applyFont="1" applyFill="1" applyBorder="1" applyAlignment="1" applyProtection="1">
      <alignment horizontal="center" vertical="center"/>
      <protection hidden="1"/>
    </xf>
    <xf numFmtId="4" fontId="42" fillId="7" borderId="22" xfId="3" applyNumberFormat="1" applyFont="1" applyFill="1" applyBorder="1" applyAlignment="1" applyProtection="1">
      <alignment horizontal="center" vertical="center"/>
      <protection hidden="1"/>
    </xf>
    <xf numFmtId="4" fontId="55" fillId="7" borderId="27" xfId="3" applyNumberFormat="1" applyFont="1" applyFill="1" applyBorder="1" applyAlignment="1" applyProtection="1">
      <alignment horizontal="center" vertical="center"/>
      <protection hidden="1"/>
    </xf>
    <xf numFmtId="4" fontId="55" fillId="7" borderId="28" xfId="3" applyNumberFormat="1" applyFont="1" applyFill="1" applyBorder="1" applyAlignment="1" applyProtection="1">
      <alignment horizontal="center" vertical="center"/>
      <protection hidden="1"/>
    </xf>
    <xf numFmtId="2" fontId="55" fillId="7" borderId="28" xfId="1" applyNumberFormat="1" applyFont="1" applyFill="1" applyBorder="1" applyAlignment="1" applyProtection="1">
      <alignment horizontal="center" vertical="center"/>
      <protection hidden="1"/>
    </xf>
    <xf numFmtId="5" fontId="31" fillId="2" borderId="0" xfId="0" applyNumberFormat="1" applyFont="1" applyFill="1" applyBorder="1" applyAlignment="1" applyProtection="1">
      <alignment horizontal="centerContinuous"/>
      <protection hidden="1"/>
    </xf>
    <xf numFmtId="5" fontId="34" fillId="6" borderId="63" xfId="0" applyNumberFormat="1" applyFont="1" applyFill="1" applyBorder="1" applyAlignment="1" applyProtection="1">
      <alignment horizontal="centerContinuous"/>
      <protection hidden="1"/>
    </xf>
    <xf numFmtId="5" fontId="34" fillId="6" borderId="64" xfId="0" applyNumberFormat="1" applyFont="1" applyFill="1" applyBorder="1" applyAlignment="1" applyProtection="1">
      <alignment horizontal="centerContinuous"/>
      <protection hidden="1"/>
    </xf>
    <xf numFmtId="0" fontId="0" fillId="0" borderId="0" xfId="0" applyAlignment="1">
      <alignment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0" xfId="0" applyAlignment="1">
      <alignment horizontal="center" vertical="center"/>
    </xf>
    <xf numFmtId="0" fontId="0" fillId="5" borderId="71" xfId="0" applyFill="1" applyBorder="1" applyAlignment="1">
      <alignment horizontal="center" vertical="center" wrapText="1"/>
    </xf>
    <xf numFmtId="0" fontId="71" fillId="0" borderId="0" xfId="0" applyFont="1"/>
    <xf numFmtId="0" fontId="6" fillId="5" borderId="72" xfId="0" applyFont="1" applyFill="1" applyBorder="1" applyAlignment="1">
      <alignment horizontal="center" vertical="center" wrapText="1"/>
    </xf>
    <xf numFmtId="10" fontId="6" fillId="0" borderId="4" xfId="2" applyNumberFormat="1" applyFont="1" applyBorder="1" applyAlignment="1">
      <alignment horizontal="center" vertical="center"/>
    </xf>
    <xf numFmtId="4" fontId="69" fillId="2" borderId="18" xfId="3" applyNumberFormat="1" applyFont="1" applyFill="1" applyBorder="1" applyAlignment="1" applyProtection="1">
      <alignment horizontal="center" vertical="center"/>
      <protection hidden="1"/>
    </xf>
    <xf numFmtId="4" fontId="69" fillId="2" borderId="29" xfId="3" applyNumberFormat="1" applyFont="1" applyFill="1" applyBorder="1" applyAlignment="1" applyProtection="1">
      <alignment horizontal="center" vertical="center"/>
      <protection hidden="1"/>
    </xf>
    <xf numFmtId="4" fontId="69" fillId="7" borderId="19" xfId="3" applyNumberFormat="1" applyFont="1" applyFill="1" applyBorder="1" applyAlignment="1" applyProtection="1">
      <alignment horizontal="center" vertical="center"/>
      <protection hidden="1"/>
    </xf>
    <xf numFmtId="4" fontId="69" fillId="7" borderId="29" xfId="3" applyNumberFormat="1" applyFont="1" applyFill="1" applyBorder="1" applyAlignment="1" applyProtection="1">
      <alignment horizontal="center" vertical="center"/>
      <protection hidden="1"/>
    </xf>
    <xf numFmtId="0" fontId="30" fillId="0" borderId="0" xfId="0" applyFont="1" applyBorder="1" applyProtection="1">
      <protection hidden="1"/>
    </xf>
    <xf numFmtId="5" fontId="43" fillId="2" borderId="9" xfId="0" applyNumberFormat="1" applyFont="1" applyFill="1" applyBorder="1" applyAlignment="1" applyProtection="1">
      <alignment horizontal="center" vertical="center" wrapText="1"/>
      <protection hidden="1"/>
    </xf>
    <xf numFmtId="5" fontId="43" fillId="2" borderId="10" xfId="0" applyNumberFormat="1" applyFont="1" applyFill="1" applyBorder="1" applyAlignment="1" applyProtection="1">
      <alignment horizontal="center" vertical="center" wrapText="1"/>
      <protection hidden="1"/>
    </xf>
    <xf numFmtId="5" fontId="43" fillId="2" borderId="7" xfId="0" applyNumberFormat="1" applyFont="1" applyFill="1" applyBorder="1" applyAlignment="1" applyProtection="1">
      <alignment horizontal="center" vertical="center" wrapText="1"/>
      <protection hidden="1"/>
    </xf>
    <xf numFmtId="5" fontId="43" fillId="2" borderId="8" xfId="0" applyNumberFormat="1" applyFont="1" applyFill="1" applyBorder="1" applyAlignment="1" applyProtection="1">
      <alignment horizontal="center" vertical="center" wrapText="1"/>
      <protection hidden="1"/>
    </xf>
    <xf numFmtId="10" fontId="77" fillId="2" borderId="33" xfId="0" applyNumberFormat="1" applyFont="1" applyFill="1" applyBorder="1" applyAlignment="1" applyProtection="1">
      <alignment horizontal="center"/>
      <protection hidden="1"/>
    </xf>
    <xf numFmtId="10" fontId="77" fillId="2" borderId="34" xfId="0" applyNumberFormat="1" applyFont="1" applyFill="1" applyBorder="1" applyAlignment="1" applyProtection="1">
      <alignment horizontal="center"/>
      <protection hidden="1"/>
    </xf>
    <xf numFmtId="5" fontId="35" fillId="2" borderId="34" xfId="0" applyNumberFormat="1" applyFont="1" applyFill="1" applyBorder="1" applyAlignment="1" applyProtection="1">
      <alignment horizontal="center" wrapText="1"/>
      <protection hidden="1"/>
    </xf>
    <xf numFmtId="5" fontId="77" fillId="2" borderId="34" xfId="0" applyNumberFormat="1" applyFont="1" applyFill="1" applyBorder="1" applyAlignment="1" applyProtection="1">
      <alignment horizontal="center" wrapText="1"/>
      <protection hidden="1"/>
    </xf>
    <xf numFmtId="5" fontId="77" fillId="2" borderId="13" xfId="0" applyNumberFormat="1" applyFont="1" applyFill="1" applyBorder="1" applyAlignment="1" applyProtection="1">
      <alignment horizontal="center" wrapText="1"/>
      <protection hidden="1"/>
    </xf>
    <xf numFmtId="5" fontId="46" fillId="7" borderId="7" xfId="0" applyNumberFormat="1" applyFont="1" applyFill="1" applyBorder="1" applyAlignment="1" applyProtection="1">
      <alignment horizontal="center" vertical="center" wrapText="1"/>
      <protection hidden="1"/>
    </xf>
    <xf numFmtId="10" fontId="77" fillId="7" borderId="33" xfId="0" applyNumberFormat="1" applyFont="1" applyFill="1" applyBorder="1" applyAlignment="1" applyProtection="1">
      <alignment horizontal="center"/>
      <protection hidden="1"/>
    </xf>
    <xf numFmtId="10" fontId="77" fillId="7" borderId="34" xfId="0" applyNumberFormat="1" applyFont="1" applyFill="1" applyBorder="1" applyAlignment="1" applyProtection="1">
      <alignment horizontal="center"/>
      <protection hidden="1"/>
    </xf>
    <xf numFmtId="5" fontId="35" fillId="7" borderId="34" xfId="0" applyNumberFormat="1" applyFont="1" applyFill="1" applyBorder="1" applyAlignment="1" applyProtection="1">
      <alignment horizontal="center" wrapText="1"/>
      <protection hidden="1"/>
    </xf>
    <xf numFmtId="165" fontId="30" fillId="2" borderId="52" xfId="1" applyNumberFormat="1" applyFont="1" applyFill="1" applyBorder="1" applyAlignment="1" applyProtection="1">
      <alignment horizontal="center" vertical="center"/>
      <protection hidden="1"/>
    </xf>
    <xf numFmtId="0" fontId="0" fillId="0" borderId="71" xfId="0" applyBorder="1" applyAlignment="1">
      <alignment vertical="center" wrapText="1"/>
    </xf>
    <xf numFmtId="10" fontId="6" fillId="0" borderId="71" xfId="0" applyNumberFormat="1" applyFont="1" applyBorder="1" applyAlignment="1">
      <alignment horizontal="center" vertical="center" wrapText="1"/>
    </xf>
    <xf numFmtId="0" fontId="78" fillId="0" borderId="0" xfId="0" applyFont="1" applyFill="1" applyAlignment="1" applyProtection="1">
      <alignment horizontal="right"/>
      <protection hidden="1"/>
    </xf>
    <xf numFmtId="5" fontId="46" fillId="2" borderId="8" xfId="0" applyNumberFormat="1" applyFont="1" applyFill="1" applyBorder="1" applyAlignment="1" applyProtection="1">
      <alignment horizontal="center" vertical="center" wrapText="1"/>
      <protection hidden="1"/>
    </xf>
    <xf numFmtId="0" fontId="57" fillId="0" borderId="0" xfId="0" applyFont="1" applyFill="1" applyAlignment="1" applyProtection="1">
      <alignment horizontal="right"/>
      <protection hidden="1"/>
    </xf>
    <xf numFmtId="10" fontId="41" fillId="4" borderId="0" xfId="2" applyNumberFormat="1" applyFont="1" applyFill="1" applyBorder="1" applyAlignment="1" applyProtection="1">
      <alignment vertical="center"/>
      <protection hidden="1"/>
    </xf>
    <xf numFmtId="5" fontId="43" fillId="2" borderId="0" xfId="0" applyNumberFormat="1" applyFont="1" applyFill="1" applyBorder="1" applyAlignment="1" applyProtection="1">
      <alignment horizontal="center" vertical="center" wrapText="1"/>
      <protection hidden="1"/>
    </xf>
    <xf numFmtId="5" fontId="75" fillId="6" borderId="0" xfId="0" applyNumberFormat="1" applyFont="1" applyFill="1" applyBorder="1" applyAlignment="1" applyProtection="1">
      <alignment horizontal="centerContinuous"/>
      <protection hidden="1"/>
    </xf>
    <xf numFmtId="5" fontId="75" fillId="6" borderId="66" xfId="0" applyNumberFormat="1" applyFont="1" applyFill="1" applyBorder="1" applyAlignment="1" applyProtection="1">
      <alignment horizontal="centerContinuous"/>
      <protection hidden="1"/>
    </xf>
    <xf numFmtId="0" fontId="82" fillId="6" borderId="68" xfId="0" applyFont="1" applyFill="1" applyBorder="1" applyAlignment="1" applyProtection="1">
      <alignment horizontal="centerContinuous" wrapText="1"/>
      <protection hidden="1"/>
    </xf>
    <xf numFmtId="0" fontId="82" fillId="6" borderId="69" xfId="0" applyFont="1" applyFill="1" applyBorder="1" applyAlignment="1" applyProtection="1">
      <alignment horizontal="centerContinuous" wrapText="1"/>
      <protection hidden="1"/>
    </xf>
    <xf numFmtId="3" fontId="40" fillId="2" borderId="14" xfId="3" applyNumberFormat="1" applyFont="1" applyFill="1" applyBorder="1" applyAlignment="1" applyProtection="1">
      <alignment horizontal="center" vertical="center"/>
      <protection hidden="1"/>
    </xf>
    <xf numFmtId="3" fontId="40" fillId="2" borderId="25" xfId="3" applyNumberFormat="1" applyFont="1" applyFill="1" applyBorder="1" applyAlignment="1" applyProtection="1">
      <alignment horizontal="center" vertical="center"/>
      <protection hidden="1"/>
    </xf>
    <xf numFmtId="168" fontId="42" fillId="2" borderId="18" xfId="1" applyNumberFormat="1" applyFont="1" applyFill="1" applyBorder="1" applyAlignment="1" applyProtection="1">
      <alignment horizontal="center" vertical="center"/>
      <protection hidden="1"/>
    </xf>
    <xf numFmtId="4" fontId="42" fillId="2" borderId="18" xfId="1" applyNumberFormat="1" applyFont="1" applyFill="1" applyBorder="1" applyAlignment="1" applyProtection="1">
      <alignment horizontal="center" vertical="center"/>
      <protection hidden="1"/>
    </xf>
    <xf numFmtId="4" fontId="42" fillId="7" borderId="18" xfId="1" applyNumberFormat="1" applyFont="1" applyFill="1" applyBorder="1" applyAlignment="1" applyProtection="1">
      <alignment horizontal="center" vertical="center"/>
      <protection hidden="1"/>
    </xf>
    <xf numFmtId="5" fontId="86" fillId="6" borderId="0" xfId="0" applyNumberFormat="1" applyFont="1" applyFill="1" applyBorder="1" applyAlignment="1" applyProtection="1">
      <alignment horizontal="centerContinuous"/>
      <protection hidden="1"/>
    </xf>
    <xf numFmtId="0" fontId="87" fillId="0" borderId="0" xfId="0" applyFont="1"/>
    <xf numFmtId="0" fontId="38" fillId="0" borderId="41" xfId="0" applyFont="1" applyFill="1" applyBorder="1" applyAlignment="1" applyProtection="1">
      <alignment wrapText="1"/>
      <protection hidden="1"/>
    </xf>
    <xf numFmtId="0" fontId="38" fillId="0" borderId="0" xfId="0" applyFont="1" applyFill="1" applyBorder="1" applyAlignment="1" applyProtection="1">
      <alignment wrapText="1"/>
      <protection hidden="1"/>
    </xf>
    <xf numFmtId="0" fontId="65" fillId="6" borderId="62" xfId="0" applyFont="1" applyFill="1" applyBorder="1" applyAlignment="1" applyProtection="1">
      <alignment wrapText="1"/>
      <protection hidden="1"/>
    </xf>
    <xf numFmtId="0" fontId="65" fillId="6" borderId="63" xfId="0" applyFont="1" applyFill="1" applyBorder="1" applyAlignment="1" applyProtection="1">
      <alignment wrapText="1"/>
      <protection hidden="1"/>
    </xf>
    <xf numFmtId="4" fontId="54" fillId="8" borderId="14" xfId="3" applyNumberFormat="1" applyFont="1" applyFill="1" applyBorder="1" applyAlignment="1" applyProtection="1">
      <alignment horizontal="center" vertical="center"/>
      <protection hidden="1"/>
    </xf>
    <xf numFmtId="167" fontId="61" fillId="0" borderId="70" xfId="3" applyNumberFormat="1" applyFont="1" applyFill="1" applyBorder="1" applyAlignment="1" applyProtection="1">
      <alignment vertical="center"/>
      <protection locked="0" hidden="1"/>
    </xf>
    <xf numFmtId="167" fontId="61" fillId="0" borderId="0" xfId="3" applyNumberFormat="1" applyFont="1" applyFill="1" applyBorder="1" applyAlignment="1" applyProtection="1">
      <alignment vertical="center"/>
      <protection locked="0" hidden="1"/>
    </xf>
    <xf numFmtId="4" fontId="90" fillId="4" borderId="54" xfId="3" applyNumberFormat="1" applyFont="1" applyFill="1" applyBorder="1" applyAlignment="1" applyProtection="1">
      <alignment horizontal="center" vertical="center"/>
      <protection locked="0" hidden="1"/>
    </xf>
    <xf numFmtId="4" fontId="90" fillId="4" borderId="55" xfId="3" applyNumberFormat="1" applyFont="1" applyFill="1" applyBorder="1" applyAlignment="1" applyProtection="1">
      <alignment horizontal="center" vertical="center"/>
      <protection locked="0" hidden="1"/>
    </xf>
    <xf numFmtId="4" fontId="90" fillId="4" borderId="56" xfId="3" applyNumberFormat="1" applyFont="1" applyFill="1" applyBorder="1" applyAlignment="1" applyProtection="1">
      <alignment horizontal="center" vertical="center"/>
      <protection locked="0" hidden="1"/>
    </xf>
    <xf numFmtId="4" fontId="91" fillId="2" borderId="12" xfId="1" applyNumberFormat="1" applyFont="1" applyFill="1" applyBorder="1" applyAlignment="1" applyProtection="1">
      <alignment horizontal="center" vertical="center"/>
      <protection hidden="1"/>
    </xf>
    <xf numFmtId="5" fontId="92" fillId="2" borderId="11" xfId="0" applyNumberFormat="1" applyFont="1" applyFill="1" applyBorder="1" applyAlignment="1" applyProtection="1">
      <alignment horizontal="center" vertical="center" wrapText="1"/>
      <protection hidden="1"/>
    </xf>
    <xf numFmtId="3" fontId="89" fillId="2" borderId="14" xfId="3" applyNumberFormat="1" applyFont="1" applyFill="1" applyBorder="1" applyAlignment="1" applyProtection="1">
      <alignment horizontal="center" vertical="center"/>
      <protection locked="0" hidden="1"/>
    </xf>
    <xf numFmtId="3" fontId="89" fillId="0" borderId="14" xfId="3" applyNumberFormat="1" applyFont="1" applyFill="1" applyBorder="1" applyAlignment="1" applyProtection="1">
      <alignment horizontal="center" vertical="center"/>
      <protection locked="0" hidden="1"/>
    </xf>
    <xf numFmtId="3" fontId="89" fillId="2" borderId="25" xfId="3" applyNumberFormat="1" applyFont="1" applyFill="1" applyBorder="1" applyAlignment="1" applyProtection="1">
      <alignment horizontal="center" vertical="center"/>
      <protection hidden="1"/>
    </xf>
    <xf numFmtId="4" fontId="62" fillId="2" borderId="14" xfId="3" applyNumberFormat="1" applyFont="1" applyFill="1" applyBorder="1" applyAlignment="1" applyProtection="1">
      <alignment horizontal="center" vertical="center"/>
      <protection hidden="1"/>
    </xf>
    <xf numFmtId="167" fontId="84" fillId="4" borderId="57" xfId="3" applyNumberFormat="1" applyFont="1" applyFill="1" applyBorder="1" applyAlignment="1" applyProtection="1">
      <alignment horizontal="center" vertical="center"/>
      <protection locked="0" hidden="1"/>
    </xf>
    <xf numFmtId="167" fontId="84" fillId="4" borderId="58" xfId="3" applyNumberFormat="1" applyFont="1" applyFill="1" applyBorder="1" applyAlignment="1" applyProtection="1">
      <alignment horizontal="center" vertical="center"/>
      <protection locked="0" hidden="1"/>
    </xf>
    <xf numFmtId="44" fontId="85" fillId="6" borderId="0" xfId="3" applyFont="1" applyFill="1" applyBorder="1" applyAlignment="1" applyProtection="1">
      <alignment horizontal="left"/>
      <protection hidden="1"/>
    </xf>
    <xf numFmtId="0" fontId="81" fillId="6" borderId="65" xfId="0" applyFont="1" applyFill="1" applyBorder="1" applyAlignment="1" applyProtection="1">
      <alignment horizontal="right" wrapText="1"/>
      <protection hidden="1"/>
    </xf>
    <xf numFmtId="0" fontId="81" fillId="6" borderId="0" xfId="0" applyFont="1" applyFill="1" applyBorder="1" applyAlignment="1" applyProtection="1">
      <alignment horizontal="right" wrapText="1"/>
      <protection hidden="1"/>
    </xf>
    <xf numFmtId="0" fontId="94" fillId="6" borderId="65" xfId="0" applyFont="1" applyFill="1" applyBorder="1" applyAlignment="1" applyProtection="1">
      <alignment horizontal="right" wrapText="1"/>
      <protection hidden="1"/>
    </xf>
    <xf numFmtId="0" fontId="94" fillId="6" borderId="0" xfId="0" applyFont="1" applyFill="1" applyBorder="1" applyAlignment="1" applyProtection="1">
      <alignment horizontal="right" wrapText="1"/>
      <protection hidden="1"/>
    </xf>
    <xf numFmtId="0" fontId="79" fillId="6" borderId="65" xfId="0" applyFont="1" applyFill="1" applyBorder="1" applyAlignment="1" applyProtection="1">
      <alignment horizontal="right" wrapText="1"/>
      <protection hidden="1"/>
    </xf>
    <xf numFmtId="0" fontId="79" fillId="6" borderId="0" xfId="0" applyFont="1" applyFill="1" applyBorder="1" applyAlignment="1" applyProtection="1">
      <alignment horizontal="right" wrapText="1"/>
      <protection hidden="1"/>
    </xf>
    <xf numFmtId="0" fontId="39" fillId="6" borderId="67" xfId="0" applyFont="1" applyFill="1" applyBorder="1" applyAlignment="1" applyProtection="1">
      <alignment horizontal="center"/>
      <protection hidden="1"/>
    </xf>
    <xf numFmtId="0" fontId="39" fillId="6" borderId="68" xfId="0" applyFont="1" applyFill="1" applyBorder="1" applyAlignment="1" applyProtection="1">
      <alignment horizontal="center"/>
      <protection hidden="1"/>
    </xf>
    <xf numFmtId="0" fontId="93" fillId="0" borderId="0" xfId="0" applyFont="1" applyFill="1" applyBorder="1" applyAlignment="1" applyProtection="1">
      <alignment horizontal="left" wrapText="1" indent="1"/>
      <protection hidden="1"/>
    </xf>
    <xf numFmtId="167" fontId="89" fillId="4" borderId="57" xfId="3" applyNumberFormat="1" applyFont="1" applyFill="1" applyBorder="1" applyAlignment="1" applyProtection="1">
      <alignment horizontal="center" vertical="center"/>
      <protection locked="0" hidden="1"/>
    </xf>
    <xf numFmtId="167" fontId="89" fillId="4" borderId="59" xfId="3" applyNumberFormat="1" applyFont="1" applyFill="1" applyBorder="1" applyAlignment="1" applyProtection="1">
      <alignment horizontal="center" vertical="center"/>
      <protection locked="0" hidden="1"/>
    </xf>
    <xf numFmtId="167" fontId="89" fillId="4" borderId="58" xfId="3" applyNumberFormat="1" applyFont="1" applyFill="1" applyBorder="1" applyAlignment="1" applyProtection="1">
      <alignment horizontal="center" vertical="center"/>
      <protection locked="0" hidden="1"/>
    </xf>
    <xf numFmtId="44" fontId="85" fillId="6" borderId="0" xfId="3" applyFont="1" applyFill="1" applyBorder="1" applyAlignment="1" applyProtection="1">
      <alignment horizontal="center"/>
      <protection hidden="1"/>
    </xf>
    <xf numFmtId="5" fontId="43" fillId="7" borderId="10" xfId="0" applyNumberFormat="1" applyFont="1" applyFill="1" applyBorder="1" applyAlignment="1" applyProtection="1">
      <alignment horizontal="center" vertical="center" wrapText="1"/>
      <protection hidden="1"/>
    </xf>
    <xf numFmtId="5" fontId="43" fillId="7" borderId="23" xfId="0" applyNumberFormat="1" applyFont="1" applyFill="1" applyBorder="1" applyAlignment="1" applyProtection="1">
      <alignment horizontal="center" vertical="center" wrapText="1"/>
      <protection hidden="1"/>
    </xf>
    <xf numFmtId="5" fontId="43" fillId="7" borderId="9" xfId="0" applyNumberFormat="1" applyFont="1" applyFill="1" applyBorder="1" applyAlignment="1" applyProtection="1">
      <alignment horizontal="center" vertical="center" wrapText="1"/>
      <protection hidden="1"/>
    </xf>
    <xf numFmtId="5" fontId="43" fillId="7" borderId="22" xfId="0" applyNumberFormat="1" applyFont="1" applyFill="1" applyBorder="1" applyAlignment="1" applyProtection="1">
      <alignment horizontal="center" vertical="center" wrapText="1"/>
      <protection hidden="1"/>
    </xf>
    <xf numFmtId="5" fontId="46" fillId="7" borderId="37" xfId="0" applyNumberFormat="1" applyFont="1" applyFill="1" applyBorder="1" applyAlignment="1" applyProtection="1">
      <alignment horizontal="center" vertical="center" wrapText="1"/>
      <protection hidden="1"/>
    </xf>
    <xf numFmtId="5" fontId="46" fillId="7" borderId="38" xfId="0" applyNumberFormat="1" applyFont="1" applyFill="1" applyBorder="1" applyAlignment="1" applyProtection="1">
      <alignment horizontal="center" vertical="center" wrapText="1"/>
      <protection hidden="1"/>
    </xf>
    <xf numFmtId="5" fontId="46" fillId="7" borderId="39" xfId="0" applyNumberFormat="1" applyFont="1" applyFill="1" applyBorder="1" applyAlignment="1" applyProtection="1">
      <alignment horizontal="center" vertical="center" wrapText="1"/>
      <protection hidden="1"/>
    </xf>
    <xf numFmtId="5" fontId="46" fillId="2" borderId="10" xfId="0" applyNumberFormat="1" applyFont="1" applyFill="1" applyBorder="1" applyAlignment="1" applyProtection="1">
      <alignment horizontal="center" vertical="center" wrapText="1"/>
      <protection hidden="1"/>
    </xf>
    <xf numFmtId="5" fontId="46" fillId="2" borderId="23" xfId="0" applyNumberFormat="1" applyFont="1" applyFill="1" applyBorder="1" applyAlignment="1" applyProtection="1">
      <alignment horizontal="center" vertical="center" wrapText="1"/>
      <protection hidden="1"/>
    </xf>
    <xf numFmtId="0" fontId="42" fillId="0" borderId="0" xfId="0" applyFont="1" applyFill="1" applyBorder="1" applyAlignment="1" applyProtection="1">
      <alignment horizontal="left" wrapText="1"/>
      <protection hidden="1"/>
    </xf>
    <xf numFmtId="5" fontId="43" fillId="7" borderId="7" xfId="0" applyNumberFormat="1" applyFont="1" applyFill="1" applyBorder="1" applyAlignment="1" applyProtection="1">
      <alignment horizontal="center" vertical="center" wrapText="1"/>
      <protection hidden="1"/>
    </xf>
    <xf numFmtId="5" fontId="43" fillId="7" borderId="21" xfId="0" applyNumberFormat="1" applyFont="1" applyFill="1" applyBorder="1" applyAlignment="1" applyProtection="1">
      <alignment horizontal="center" vertical="center" wrapText="1"/>
      <protection hidden="1"/>
    </xf>
    <xf numFmtId="0" fontId="40" fillId="0" borderId="0" xfId="0" applyFont="1" applyFill="1" applyBorder="1" applyAlignment="1" applyProtection="1">
      <alignment horizontal="right" vertical="center" indent="2"/>
      <protection hidden="1"/>
    </xf>
    <xf numFmtId="10" fontId="84" fillId="4" borderId="57" xfId="3" applyNumberFormat="1" applyFont="1" applyFill="1" applyBorder="1" applyAlignment="1" applyProtection="1">
      <alignment horizontal="center" vertical="center"/>
      <protection locked="0" hidden="1"/>
    </xf>
    <xf numFmtId="10" fontId="84" fillId="4" borderId="58" xfId="3" applyNumberFormat="1" applyFont="1" applyFill="1" applyBorder="1" applyAlignment="1" applyProtection="1">
      <alignment horizontal="center" vertical="center"/>
      <protection locked="0" hidden="1"/>
    </xf>
    <xf numFmtId="5" fontId="46" fillId="2" borderId="36" xfId="0" applyNumberFormat="1" applyFont="1" applyFill="1" applyBorder="1" applyAlignment="1" applyProtection="1">
      <alignment horizontal="center" vertical="center" wrapText="1"/>
      <protection hidden="1"/>
    </xf>
    <xf numFmtId="5" fontId="46" fillId="2" borderId="20" xfId="0" applyNumberFormat="1" applyFont="1" applyFill="1" applyBorder="1" applyAlignment="1" applyProtection="1">
      <alignment horizontal="center" vertical="center" wrapText="1"/>
      <protection hidden="1"/>
    </xf>
    <xf numFmtId="5" fontId="46" fillId="2" borderId="11" xfId="0" applyNumberFormat="1" applyFont="1" applyFill="1" applyBorder="1" applyAlignment="1" applyProtection="1">
      <alignment horizontal="center" vertical="center" wrapText="1"/>
      <protection hidden="1"/>
    </xf>
    <xf numFmtId="5" fontId="46" fillId="2" borderId="7" xfId="0" applyNumberFormat="1" applyFont="1" applyFill="1" applyBorder="1" applyAlignment="1" applyProtection="1">
      <alignment horizontal="center" vertical="center" wrapText="1"/>
      <protection hidden="1"/>
    </xf>
    <xf numFmtId="5" fontId="46" fillId="2" borderId="21" xfId="0" applyNumberFormat="1" applyFont="1" applyFill="1" applyBorder="1" applyAlignment="1" applyProtection="1">
      <alignment horizontal="center" vertical="center" wrapText="1"/>
      <protection hidden="1"/>
    </xf>
    <xf numFmtId="5" fontId="46" fillId="2" borderId="12" xfId="0" applyNumberFormat="1" applyFont="1" applyFill="1" applyBorder="1" applyAlignment="1" applyProtection="1">
      <alignment horizontal="center" vertical="center" wrapText="1"/>
      <protection hidden="1"/>
    </xf>
    <xf numFmtId="0" fontId="76" fillId="7" borderId="40" xfId="0" applyFont="1" applyFill="1" applyBorder="1" applyAlignment="1" applyProtection="1">
      <alignment horizontal="center" vertical="center"/>
      <protection hidden="1"/>
    </xf>
    <xf numFmtId="0" fontId="76" fillId="7" borderId="24" xfId="0" applyFont="1" applyFill="1" applyBorder="1" applyAlignment="1" applyProtection="1">
      <alignment horizontal="center" vertical="center"/>
      <protection hidden="1"/>
    </xf>
    <xf numFmtId="0" fontId="76" fillId="7" borderId="30" xfId="0" applyFont="1" applyFill="1" applyBorder="1" applyAlignment="1" applyProtection="1">
      <alignment horizontal="center" vertical="center"/>
      <protection hidden="1"/>
    </xf>
    <xf numFmtId="0" fontId="76" fillId="2" borderId="40" xfId="0" applyFont="1" applyFill="1" applyBorder="1" applyAlignment="1" applyProtection="1">
      <alignment horizontal="center" vertical="center"/>
      <protection hidden="1"/>
    </xf>
    <xf numFmtId="0" fontId="76" fillId="2" borderId="24" xfId="0" applyFont="1" applyFill="1" applyBorder="1" applyAlignment="1" applyProtection="1">
      <alignment horizontal="center" vertical="center"/>
      <protection hidden="1"/>
    </xf>
    <xf numFmtId="0" fontId="76" fillId="2" borderId="30" xfId="0" applyFont="1" applyFill="1" applyBorder="1" applyAlignment="1" applyProtection="1">
      <alignment horizontal="center" vertical="center"/>
      <protection hidden="1"/>
    </xf>
    <xf numFmtId="5" fontId="46" fillId="2" borderId="51" xfId="0" applyNumberFormat="1" applyFont="1" applyFill="1" applyBorder="1" applyAlignment="1" applyProtection="1">
      <alignment horizontal="center" vertical="center" wrapText="1"/>
      <protection hidden="1"/>
    </xf>
    <xf numFmtId="5" fontId="46" fillId="2" borderId="22" xfId="0" applyNumberFormat="1" applyFont="1" applyFill="1" applyBorder="1" applyAlignment="1" applyProtection="1">
      <alignment horizontal="center" vertical="center" wrapText="1"/>
      <protection hidden="1"/>
    </xf>
    <xf numFmtId="5" fontId="46" fillId="2" borderId="76" xfId="0" applyNumberFormat="1" applyFont="1" applyFill="1" applyBorder="1" applyAlignment="1" applyProtection="1">
      <alignment horizontal="center" vertical="center" wrapText="1"/>
      <protection hidden="1"/>
    </xf>
    <xf numFmtId="165" fontId="43" fillId="0" borderId="0" xfId="1" applyNumberFormat="1" applyFont="1" applyFill="1" applyBorder="1" applyAlignment="1" applyProtection="1">
      <alignment horizontal="center"/>
      <protection hidden="1"/>
    </xf>
    <xf numFmtId="5" fontId="46" fillId="2" borderId="37" xfId="0" applyNumberFormat="1" applyFont="1" applyFill="1" applyBorder="1" applyAlignment="1" applyProtection="1">
      <alignment horizontal="center" vertical="center" wrapText="1"/>
      <protection hidden="1"/>
    </xf>
    <xf numFmtId="5" fontId="46" fillId="2" borderId="38" xfId="0" applyNumberFormat="1" applyFont="1" applyFill="1" applyBorder="1" applyAlignment="1" applyProtection="1">
      <alignment horizontal="center" vertical="center" wrapText="1"/>
      <protection hidden="1"/>
    </xf>
    <xf numFmtId="5" fontId="46" fillId="2" borderId="39" xfId="0" applyNumberFormat="1" applyFont="1" applyFill="1" applyBorder="1" applyAlignment="1" applyProtection="1">
      <alignment horizontal="center" vertical="center" wrapText="1"/>
      <protection hidden="1"/>
    </xf>
    <xf numFmtId="165" fontId="57" fillId="0" borderId="0" xfId="1" applyNumberFormat="1" applyFont="1" applyFill="1" applyBorder="1" applyAlignment="1" applyProtection="1">
      <alignment horizontal="center"/>
      <protection hidden="1"/>
    </xf>
    <xf numFmtId="10" fontId="40" fillId="5" borderId="0" xfId="2" applyNumberFormat="1" applyFont="1" applyFill="1" applyBorder="1" applyAlignment="1" applyProtection="1">
      <alignment horizontal="center"/>
      <protection hidden="1"/>
    </xf>
    <xf numFmtId="5" fontId="46" fillId="2" borderId="42" xfId="0" applyNumberFormat="1" applyFont="1" applyFill="1" applyBorder="1" applyAlignment="1" applyProtection="1">
      <alignment horizontal="center" vertical="center" wrapText="1"/>
      <protection hidden="1"/>
    </xf>
    <xf numFmtId="5" fontId="46" fillId="2" borderId="4" xfId="0" applyNumberFormat="1" applyFont="1" applyFill="1" applyBorder="1" applyAlignment="1" applyProtection="1">
      <alignment horizontal="center" vertical="center" wrapText="1"/>
      <protection hidden="1"/>
    </xf>
    <xf numFmtId="44" fontId="35" fillId="0" borderId="80" xfId="3" applyFont="1" applyFill="1" applyBorder="1" applyAlignment="1" applyProtection="1">
      <alignment horizontal="center"/>
      <protection hidden="1"/>
    </xf>
    <xf numFmtId="44" fontId="35" fillId="0" borderId="81" xfId="3" applyFont="1" applyFill="1" applyBorder="1" applyAlignment="1" applyProtection="1">
      <alignment horizontal="center"/>
      <protection hidden="1"/>
    </xf>
    <xf numFmtId="44" fontId="35" fillId="0" borderId="48" xfId="3" applyFont="1" applyFill="1" applyBorder="1" applyAlignment="1" applyProtection="1">
      <alignment horizontal="center"/>
      <protection hidden="1"/>
    </xf>
    <xf numFmtId="44" fontId="35" fillId="0" borderId="82" xfId="3" applyFont="1" applyFill="1" applyBorder="1" applyAlignment="1" applyProtection="1">
      <alignment horizontal="center"/>
      <protection hidden="1"/>
    </xf>
    <xf numFmtId="0" fontId="32" fillId="2" borderId="46" xfId="0" applyFont="1" applyFill="1" applyBorder="1" applyAlignment="1" applyProtection="1">
      <alignment horizontal="right" wrapText="1" indent="2"/>
      <protection hidden="1"/>
    </xf>
    <xf numFmtId="0" fontId="32" fillId="2" borderId="0" xfId="0" applyFont="1" applyFill="1" applyBorder="1" applyAlignment="1" applyProtection="1">
      <alignment horizontal="right" wrapText="1" indent="2"/>
      <protection hidden="1"/>
    </xf>
    <xf numFmtId="0" fontId="32" fillId="2" borderId="61" xfId="0" applyFont="1" applyFill="1" applyBorder="1" applyAlignment="1" applyProtection="1">
      <alignment horizontal="right" wrapText="1" indent="2"/>
      <protection hidden="1"/>
    </xf>
    <xf numFmtId="0" fontId="63" fillId="2" borderId="46" xfId="0" applyFont="1" applyFill="1" applyBorder="1" applyAlignment="1" applyProtection="1">
      <alignment horizontal="center"/>
      <protection hidden="1"/>
    </xf>
    <xf numFmtId="0" fontId="63" fillId="2" borderId="0" xfId="0" applyFont="1" applyFill="1" applyBorder="1" applyAlignment="1" applyProtection="1">
      <alignment horizontal="center"/>
      <protection hidden="1"/>
    </xf>
    <xf numFmtId="0" fontId="33" fillId="2" borderId="46" xfId="0" applyFont="1" applyFill="1" applyBorder="1" applyAlignment="1" applyProtection="1">
      <alignment horizontal="center" wrapText="1"/>
      <protection hidden="1"/>
    </xf>
    <xf numFmtId="0" fontId="33" fillId="2" borderId="0" xfId="0" applyFont="1" applyFill="1" applyBorder="1" applyAlignment="1" applyProtection="1">
      <alignment horizontal="center" wrapText="1"/>
      <protection hidden="1"/>
    </xf>
    <xf numFmtId="165" fontId="11" fillId="0" borderId="0" xfId="1" applyNumberFormat="1" applyFont="1" applyFill="1" applyBorder="1" applyAlignment="1" applyProtection="1">
      <alignment horizontal="center"/>
      <protection hidden="1"/>
    </xf>
    <xf numFmtId="5" fontId="41" fillId="2" borderId="36" xfId="0" applyNumberFormat="1" applyFont="1" applyFill="1" applyBorder="1" applyAlignment="1" applyProtection="1">
      <alignment horizontal="center" vertical="center" wrapText="1"/>
      <protection hidden="1"/>
    </xf>
    <xf numFmtId="0" fontId="31" fillId="0" borderId="20" xfId="0" applyFont="1" applyBorder="1" applyProtection="1"/>
    <xf numFmtId="0" fontId="31" fillId="0" borderId="11" xfId="0" applyFont="1" applyBorder="1" applyProtection="1"/>
    <xf numFmtId="5" fontId="41" fillId="2" borderId="51" xfId="0" applyNumberFormat="1" applyFont="1" applyFill="1" applyBorder="1" applyAlignment="1" applyProtection="1">
      <alignment horizontal="center" vertical="center" wrapText="1"/>
      <protection hidden="1"/>
    </xf>
    <xf numFmtId="0" fontId="31" fillId="0" borderId="22" xfId="0" applyFont="1" applyBorder="1" applyProtection="1"/>
    <xf numFmtId="0" fontId="31" fillId="0" borderId="33" xfId="0" applyFont="1" applyBorder="1" applyProtection="1"/>
    <xf numFmtId="5" fontId="92" fillId="2" borderId="36" xfId="0" applyNumberFormat="1" applyFont="1" applyFill="1" applyBorder="1" applyAlignment="1" applyProtection="1">
      <alignment horizontal="center" vertical="center" wrapText="1"/>
      <protection hidden="1"/>
    </xf>
    <xf numFmtId="5" fontId="92" fillId="2" borderId="20" xfId="0" applyNumberFormat="1" applyFont="1" applyFill="1" applyBorder="1" applyAlignment="1" applyProtection="1">
      <alignment horizontal="center" vertical="center" wrapText="1"/>
      <protection hidden="1"/>
    </xf>
    <xf numFmtId="5" fontId="92" fillId="2" borderId="11" xfId="0" applyNumberFormat="1" applyFont="1" applyFill="1" applyBorder="1" applyAlignment="1" applyProtection="1">
      <alignment horizontal="center" vertical="center" wrapText="1"/>
      <protection hidden="1"/>
    </xf>
    <xf numFmtId="5" fontId="68" fillId="2" borderId="36" xfId="0" applyNumberFormat="1" applyFont="1" applyFill="1" applyBorder="1" applyAlignment="1" applyProtection="1">
      <alignment horizontal="center" vertical="center" wrapText="1"/>
      <protection hidden="1"/>
    </xf>
    <xf numFmtId="5" fontId="68" fillId="2" borderId="20" xfId="0" applyNumberFormat="1" applyFont="1" applyFill="1" applyBorder="1" applyAlignment="1" applyProtection="1">
      <alignment horizontal="center" vertical="center" wrapText="1"/>
      <protection hidden="1"/>
    </xf>
    <xf numFmtId="5" fontId="68" fillId="2" borderId="11" xfId="0" applyNumberFormat="1" applyFont="1" applyFill="1" applyBorder="1" applyAlignment="1" applyProtection="1">
      <alignment horizontal="center" vertical="center" wrapText="1"/>
      <protection hidden="1"/>
    </xf>
    <xf numFmtId="5" fontId="60" fillId="2" borderId="36" xfId="0" applyNumberFormat="1" applyFont="1" applyFill="1" applyBorder="1" applyAlignment="1" applyProtection="1">
      <alignment horizontal="center" vertical="center" wrapText="1"/>
      <protection hidden="1"/>
    </xf>
    <xf numFmtId="5" fontId="41" fillId="2" borderId="47" xfId="0" applyNumberFormat="1" applyFont="1" applyFill="1" applyBorder="1" applyAlignment="1" applyProtection="1">
      <alignment horizontal="center" vertical="center" wrapText="1"/>
      <protection hidden="1"/>
    </xf>
    <xf numFmtId="0" fontId="31" fillId="0" borderId="24" xfId="0" applyFont="1" applyBorder="1" applyProtection="1"/>
    <xf numFmtId="0" fontId="31" fillId="0" borderId="30" xfId="0" applyFont="1" applyBorder="1" applyProtection="1"/>
    <xf numFmtId="5" fontId="13" fillId="2" borderId="7" xfId="0" applyNumberFormat="1" applyFont="1" applyFill="1" applyBorder="1" applyAlignment="1" applyProtection="1">
      <alignment horizontal="center" vertical="center" wrapText="1"/>
      <protection hidden="1"/>
    </xf>
    <xf numFmtId="5" fontId="13" fillId="2" borderId="21" xfId="0" applyNumberFormat="1" applyFont="1" applyFill="1" applyBorder="1" applyAlignment="1" applyProtection="1">
      <alignment horizontal="center" vertical="center" wrapText="1"/>
      <protection hidden="1"/>
    </xf>
    <xf numFmtId="167" fontId="88" fillId="4" borderId="57" xfId="3" applyNumberFormat="1" applyFont="1" applyFill="1" applyBorder="1" applyAlignment="1" applyProtection="1">
      <alignment horizontal="center" vertical="center"/>
      <protection locked="0" hidden="1"/>
    </xf>
    <xf numFmtId="167" fontId="88" fillId="4" borderId="58" xfId="3" applyNumberFormat="1" applyFont="1" applyFill="1" applyBorder="1" applyAlignment="1" applyProtection="1">
      <alignment horizontal="center" vertical="center"/>
      <protection locked="0" hidden="1"/>
    </xf>
    <xf numFmtId="10" fontId="45" fillId="2" borderId="43" xfId="3" applyNumberFormat="1" applyFont="1" applyFill="1" applyBorder="1" applyAlignment="1" applyProtection="1">
      <alignment horizontal="center" vertical="center"/>
      <protection hidden="1"/>
    </xf>
    <xf numFmtId="10" fontId="45" fillId="2" borderId="44" xfId="3" applyNumberFormat="1" applyFont="1" applyFill="1" applyBorder="1" applyAlignment="1" applyProtection="1">
      <alignment horizontal="center" vertical="center"/>
      <protection hidden="1"/>
    </xf>
    <xf numFmtId="0" fontId="31" fillId="0" borderId="75" xfId="0" applyFont="1" applyFill="1" applyBorder="1" applyAlignment="1" applyProtection="1">
      <alignment horizontal="center"/>
      <protection hidden="1"/>
    </xf>
    <xf numFmtId="0" fontId="73" fillId="0" borderId="0" xfId="0" applyFont="1" applyAlignment="1">
      <alignment horizontal="center" vertical="center"/>
    </xf>
    <xf numFmtId="0" fontId="0" fillId="0" borderId="0" xfId="0" applyFont="1" applyAlignment="1">
      <alignment horizontal="left" vertical="center" wrapText="1" indent="1"/>
    </xf>
    <xf numFmtId="0" fontId="0" fillId="0" borderId="0" xfId="0" applyFont="1" applyAlignment="1">
      <alignment horizontal="left" indent="1"/>
    </xf>
    <xf numFmtId="0" fontId="74" fillId="0" borderId="0" xfId="0" applyFont="1" applyAlignment="1">
      <alignment horizontal="center"/>
    </xf>
    <xf numFmtId="0" fontId="95" fillId="9" borderId="77" xfId="0" applyFont="1" applyFill="1" applyBorder="1" applyAlignment="1" applyProtection="1">
      <alignment horizontal="center" vertical="center"/>
      <protection hidden="1"/>
    </xf>
    <xf numFmtId="0" fontId="95" fillId="9" borderId="78" xfId="0" applyFont="1" applyFill="1" applyBorder="1" applyAlignment="1" applyProtection="1">
      <alignment horizontal="center" vertical="center"/>
      <protection hidden="1"/>
    </xf>
    <xf numFmtId="0" fontId="95" fillId="9" borderId="79" xfId="0" applyFont="1" applyFill="1" applyBorder="1" applyAlignment="1" applyProtection="1">
      <alignment horizontal="center" vertical="center"/>
      <protection hidden="1"/>
    </xf>
  </cellXfs>
  <cellStyles count="9">
    <cellStyle name="Dziesiętny" xfId="1" builtinId="3"/>
    <cellStyle name="Dziesiętny 2" xfId="6"/>
    <cellStyle name="Normalny" xfId="0" builtinId="0"/>
    <cellStyle name="Normalny 2" xfId="5"/>
    <cellStyle name="Normalny 3" xfId="4"/>
    <cellStyle name="Procentowy" xfId="2" builtinId="5"/>
    <cellStyle name="Procentowy 2" xfId="7"/>
    <cellStyle name="Walutowy" xfId="3" builtinId="4"/>
    <cellStyle name="Walutowy 2" xfId="8"/>
  </cellStyles>
  <dxfs count="36">
    <dxf>
      <fill>
        <patternFill patternType="solid">
          <bgColor indexed="43"/>
        </patternFill>
      </fill>
      <border>
        <left/>
        <right/>
        <top/>
        <bottom/>
      </border>
    </dxf>
    <dxf>
      <fill>
        <patternFill>
          <bgColor indexed="51"/>
        </patternFill>
      </fill>
      <border>
        <left/>
        <right/>
        <top/>
        <bottom/>
      </border>
    </dxf>
    <dxf>
      <fill>
        <patternFill>
          <bgColor indexed="53"/>
        </patternFill>
      </fill>
      <border>
        <left/>
        <right/>
        <top/>
        <bottom/>
      </border>
    </dxf>
    <dxf>
      <fill>
        <patternFill patternType="solid">
          <bgColor indexed="43"/>
        </patternFill>
      </fill>
      <border>
        <left/>
        <right/>
        <top/>
        <bottom/>
      </border>
    </dxf>
    <dxf>
      <fill>
        <patternFill>
          <bgColor indexed="51"/>
        </patternFill>
      </fill>
      <border>
        <left/>
        <right/>
        <top/>
        <bottom/>
      </border>
    </dxf>
    <dxf>
      <fill>
        <patternFill>
          <bgColor indexed="53"/>
        </patternFill>
      </fill>
    </dxf>
    <dxf>
      <fill>
        <patternFill>
          <bgColor indexed="51"/>
        </patternFill>
      </fill>
    </dxf>
    <dxf>
      <fill>
        <patternFill>
          <bgColor indexed="43"/>
        </patternFill>
      </fill>
    </dxf>
    <dxf>
      <fill>
        <patternFill>
          <bgColor indexed="53"/>
        </patternFill>
      </fill>
      <border>
        <left/>
        <right/>
        <top/>
        <bottom/>
      </border>
    </dxf>
    <dxf>
      <fill>
        <patternFill>
          <bgColor indexed="47"/>
        </patternFill>
      </fill>
    </dxf>
    <dxf>
      <fill>
        <patternFill>
          <bgColor indexed="43"/>
        </patternFill>
      </fill>
    </dxf>
    <dxf>
      <fill>
        <patternFill>
          <bgColor indexed="26"/>
        </patternFill>
      </fill>
    </dxf>
    <dxf>
      <fill>
        <patternFill>
          <bgColor indexed="26"/>
        </patternFill>
      </fill>
    </dxf>
    <dxf>
      <fill>
        <patternFill>
          <bgColor indexed="53"/>
        </patternFill>
      </fill>
    </dxf>
    <dxf>
      <fill>
        <patternFill>
          <bgColor indexed="51"/>
        </patternFill>
      </fill>
    </dxf>
    <dxf>
      <fill>
        <patternFill>
          <bgColor indexed="43"/>
        </patternFill>
      </fill>
    </dxf>
    <dxf>
      <fill>
        <patternFill patternType="solid">
          <bgColor indexed="43"/>
        </patternFill>
      </fill>
      <border>
        <left/>
        <right/>
        <top/>
        <bottom/>
      </border>
    </dxf>
    <dxf>
      <fill>
        <patternFill>
          <bgColor indexed="51"/>
        </patternFill>
      </fill>
      <border>
        <left/>
        <right/>
        <top/>
        <bottom/>
      </border>
    </dxf>
    <dxf>
      <fill>
        <patternFill>
          <bgColor indexed="53"/>
        </patternFill>
      </fill>
      <border>
        <left/>
        <right/>
        <top/>
        <bottom/>
      </border>
    </dxf>
    <dxf>
      <fill>
        <patternFill>
          <bgColor indexed="26"/>
        </patternFill>
      </fill>
    </dxf>
    <dxf>
      <fill>
        <patternFill>
          <bgColor indexed="26"/>
        </patternFill>
      </fill>
    </dxf>
    <dxf>
      <fill>
        <patternFill>
          <bgColor indexed="26"/>
        </patternFill>
      </fill>
    </dxf>
    <dxf>
      <font>
        <strike/>
      </font>
    </dxf>
    <dxf>
      <fill>
        <patternFill>
          <bgColor indexed="47"/>
        </patternFill>
      </fill>
    </dxf>
    <dxf>
      <fill>
        <patternFill>
          <bgColor indexed="43"/>
        </patternFill>
      </fill>
    </dxf>
    <dxf>
      <fill>
        <patternFill>
          <bgColor indexed="26"/>
        </patternFill>
      </fill>
    </dxf>
    <dxf>
      <fill>
        <patternFill>
          <bgColor indexed="26"/>
        </patternFill>
      </fill>
    </dxf>
    <dxf>
      <fill>
        <patternFill patternType="solid">
          <bgColor indexed="43"/>
        </patternFill>
      </fill>
      <border>
        <left/>
        <right/>
        <top/>
        <bottom/>
      </border>
    </dxf>
    <dxf>
      <fill>
        <patternFill>
          <bgColor indexed="51"/>
        </patternFill>
      </fill>
      <border>
        <left/>
        <right/>
        <top/>
        <bottom/>
      </border>
    </dxf>
    <dxf>
      <fill>
        <patternFill>
          <bgColor indexed="53"/>
        </patternFill>
      </fill>
    </dxf>
    <dxf>
      <fill>
        <patternFill>
          <bgColor indexed="51"/>
        </patternFill>
      </fill>
    </dxf>
    <dxf>
      <fill>
        <patternFill>
          <bgColor indexed="43"/>
        </patternFill>
      </fill>
    </dxf>
    <dxf>
      <fill>
        <patternFill>
          <bgColor indexed="53"/>
        </patternFill>
      </fill>
    </dxf>
    <dxf>
      <fill>
        <patternFill>
          <bgColor indexed="51"/>
        </patternFill>
      </fill>
    </dxf>
    <dxf>
      <fill>
        <patternFill>
          <bgColor indexed="43"/>
        </patternFill>
      </fill>
    </dxf>
    <dxf>
      <fill>
        <patternFill>
          <bgColor indexed="53"/>
        </patternFill>
      </fill>
      <border>
        <left/>
        <right/>
        <top/>
        <bottom/>
      </border>
    </dxf>
  </dxfs>
  <tableStyles count="0" defaultTableStyle="TableStyleMedium9" defaultPivotStyle="PivotStyleLight16"/>
  <colors>
    <mruColors>
      <color rgb="FFCCFFCC"/>
      <color rgb="FF065E47"/>
      <color rgb="FF009900"/>
      <color rgb="FFCC0000"/>
      <color rgb="FFFFFFCC"/>
      <color rgb="FFFF6600"/>
      <color rgb="FFFF0000"/>
      <color rgb="FF33CC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100"/>
            </a:pPr>
            <a:r>
              <a:rPr lang="pl-PL" sz="1100"/>
              <a:t>Rozkład rocznych kosztów pracy</a:t>
            </a:r>
          </a:p>
          <a:p>
            <a:pPr>
              <a:defRPr sz="1100"/>
            </a:pPr>
            <a:r>
              <a:rPr lang="pl-PL" sz="1100"/>
              <a:t>pracownika (100%=brutto)</a:t>
            </a:r>
          </a:p>
        </c:rich>
      </c:tx>
      <c:layout/>
      <c:overlay val="0"/>
    </c:title>
    <c:autoTitleDeleted val="0"/>
    <c:plotArea>
      <c:layout>
        <c:manualLayout>
          <c:layoutTarget val="inner"/>
          <c:xMode val="edge"/>
          <c:yMode val="edge"/>
          <c:x val="0.14539194198663324"/>
          <c:y val="0.16587547950736944"/>
          <c:w val="0.27299915859799823"/>
          <c:h val="0.78563686149808265"/>
        </c:manualLayout>
      </c:layout>
      <c:barChart>
        <c:barDir val="col"/>
        <c:grouping val="stacked"/>
        <c:varyColors val="0"/>
        <c:ser>
          <c:idx val="0"/>
          <c:order val="0"/>
          <c:tx>
            <c:strRef>
              <c:f>zmienne!$H$2</c:f>
              <c:strCache>
                <c:ptCount val="1"/>
                <c:pt idx="0">
                  <c:v>netto</c:v>
                </c:pt>
              </c:strCache>
            </c:strRef>
          </c:tx>
          <c:spPr>
            <a:solidFill>
              <a:srgbClr val="33CC33"/>
            </a:solidFill>
          </c:spPr>
          <c:invertIfNegative val="0"/>
          <c:dLbls>
            <c:spPr>
              <a:noFill/>
              <a:ln>
                <a:noFill/>
              </a:ln>
              <a:effectLst/>
            </c:spPr>
            <c:txPr>
              <a:bodyPr/>
              <a:lstStyle/>
              <a:p>
                <a:pPr>
                  <a:defRPr sz="1200"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zmienne!$J$2</c:f>
              <c:numCache>
                <c:formatCode>0.00%</c:formatCode>
                <c:ptCount val="1"/>
                <c:pt idx="0">
                  <c:v>0</c:v>
                </c:pt>
              </c:numCache>
            </c:numRef>
          </c:val>
          <c:extLst>
            <c:ext xmlns:c16="http://schemas.microsoft.com/office/drawing/2014/chart" uri="{C3380CC4-5D6E-409C-BE32-E72D297353CC}">
              <c16:uniqueId val="{00000000-7FA2-41FC-AB1F-42E25813CE6C}"/>
            </c:ext>
          </c:extLst>
        </c:ser>
        <c:ser>
          <c:idx val="1"/>
          <c:order val="1"/>
          <c:tx>
            <c:strRef>
              <c:f>zmienne!$H$3</c:f>
              <c:strCache>
                <c:ptCount val="1"/>
                <c:pt idx="0">
                  <c:v>ub. zdrowotne</c:v>
                </c:pt>
              </c:strCache>
            </c:strRef>
          </c:tx>
          <c:spPr>
            <a:solidFill>
              <a:srgbClr val="C00000"/>
            </a:solidFill>
          </c:spPr>
          <c:invertIfNegative val="0"/>
          <c:dLbls>
            <c:dLbl>
              <c:idx val="0"/>
              <c:layout>
                <c:manualLayout>
                  <c:x val="0.28350506724936964"/>
                  <c:y val="0.37719939710506539"/>
                </c:manualLayout>
              </c:layout>
              <c:spPr>
                <a:solidFill>
                  <a:srgbClr val="C00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FA2-41FC-AB1F-42E25813CE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zmienne!$J$3</c:f>
              <c:numCache>
                <c:formatCode>0.00%</c:formatCode>
                <c:ptCount val="1"/>
                <c:pt idx="0">
                  <c:v>0</c:v>
                </c:pt>
              </c:numCache>
            </c:numRef>
          </c:val>
          <c:extLst>
            <c:ext xmlns:c16="http://schemas.microsoft.com/office/drawing/2014/chart" uri="{C3380CC4-5D6E-409C-BE32-E72D297353CC}">
              <c16:uniqueId val="{00000002-7FA2-41FC-AB1F-42E25813CE6C}"/>
            </c:ext>
          </c:extLst>
        </c:ser>
        <c:ser>
          <c:idx val="2"/>
          <c:order val="2"/>
          <c:tx>
            <c:strRef>
              <c:f>zmienne!$H$4</c:f>
              <c:strCache>
                <c:ptCount val="1"/>
                <c:pt idx="0">
                  <c:v>ub. chorobowe</c:v>
                </c:pt>
              </c:strCache>
            </c:strRef>
          </c:tx>
          <c:spPr>
            <a:solidFill>
              <a:srgbClr val="FF0000"/>
            </a:solidFill>
          </c:spPr>
          <c:invertIfNegative val="0"/>
          <c:dLbls>
            <c:dLbl>
              <c:idx val="0"/>
              <c:layout>
                <c:manualLayout>
                  <c:x val="0.28749230807871512"/>
                  <c:y val="0.29756139393467018"/>
                </c:manualLayout>
              </c:layout>
              <c:spPr>
                <a:solidFill>
                  <a:srgbClr val="FF0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FA2-41FC-AB1F-42E25813CE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zmienne!$J$4</c:f>
              <c:numCache>
                <c:formatCode>0.00%</c:formatCode>
                <c:ptCount val="1"/>
                <c:pt idx="0">
                  <c:v>0</c:v>
                </c:pt>
              </c:numCache>
            </c:numRef>
          </c:val>
          <c:extLst>
            <c:ext xmlns:c16="http://schemas.microsoft.com/office/drawing/2014/chart" uri="{C3380CC4-5D6E-409C-BE32-E72D297353CC}">
              <c16:uniqueId val="{00000004-7FA2-41FC-AB1F-42E25813CE6C}"/>
            </c:ext>
          </c:extLst>
        </c:ser>
        <c:ser>
          <c:idx val="3"/>
          <c:order val="3"/>
          <c:tx>
            <c:strRef>
              <c:f>zmienne!$H$5</c:f>
              <c:strCache>
                <c:ptCount val="1"/>
                <c:pt idx="0">
                  <c:v>ub. rentowe</c:v>
                </c:pt>
              </c:strCache>
            </c:strRef>
          </c:tx>
          <c:spPr>
            <a:solidFill>
              <a:srgbClr val="FF6600"/>
            </a:solidFill>
          </c:spPr>
          <c:invertIfNegative val="0"/>
          <c:dLbls>
            <c:dLbl>
              <c:idx val="0"/>
              <c:layout>
                <c:manualLayout>
                  <c:x val="0.28749230807871512"/>
                  <c:y val="0.18302720823263421"/>
                </c:manualLayout>
              </c:layout>
              <c:spPr>
                <a:solidFill>
                  <a:srgbClr val="FF66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FA2-41FC-AB1F-42E25813CE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zmienne!$J$5</c:f>
              <c:numCache>
                <c:formatCode>0.00%</c:formatCode>
                <c:ptCount val="1"/>
                <c:pt idx="0">
                  <c:v>0</c:v>
                </c:pt>
              </c:numCache>
            </c:numRef>
          </c:val>
          <c:extLst>
            <c:ext xmlns:c16="http://schemas.microsoft.com/office/drawing/2014/chart" uri="{C3380CC4-5D6E-409C-BE32-E72D297353CC}">
              <c16:uniqueId val="{00000006-7FA2-41FC-AB1F-42E25813CE6C}"/>
            </c:ext>
          </c:extLst>
        </c:ser>
        <c:ser>
          <c:idx val="4"/>
          <c:order val="4"/>
          <c:tx>
            <c:strRef>
              <c:f>zmienne!$H$6</c:f>
              <c:strCache>
                <c:ptCount val="1"/>
                <c:pt idx="0">
                  <c:v>ub. emerytalne</c:v>
                </c:pt>
              </c:strCache>
            </c:strRef>
          </c:tx>
          <c:spPr>
            <a:solidFill>
              <a:srgbClr val="FFC000"/>
            </a:solidFill>
          </c:spPr>
          <c:invertIfNegative val="0"/>
          <c:dLbls>
            <c:dLbl>
              <c:idx val="0"/>
              <c:layout>
                <c:manualLayout>
                  <c:x val="0.2806411608835977"/>
                  <c:y val="8.8999506249837726E-2"/>
                </c:manualLayout>
              </c:layout>
              <c:spPr>
                <a:solidFill>
                  <a:srgbClr val="FFC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FA2-41FC-AB1F-42E25813CE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zmienne!$J$6</c:f>
              <c:numCache>
                <c:formatCode>0.00%</c:formatCode>
                <c:ptCount val="1"/>
                <c:pt idx="0">
                  <c:v>0</c:v>
                </c:pt>
              </c:numCache>
            </c:numRef>
          </c:val>
          <c:extLst>
            <c:ext xmlns:c16="http://schemas.microsoft.com/office/drawing/2014/chart" uri="{C3380CC4-5D6E-409C-BE32-E72D297353CC}">
              <c16:uniqueId val="{00000008-7FA2-41FC-AB1F-42E25813CE6C}"/>
            </c:ext>
          </c:extLst>
        </c:ser>
        <c:ser>
          <c:idx val="5"/>
          <c:order val="5"/>
          <c:tx>
            <c:strRef>
              <c:f>zmienne!$H$7</c:f>
              <c:strCache>
                <c:ptCount val="1"/>
                <c:pt idx="0">
                  <c:v>zaliczka na PIT</c:v>
                </c:pt>
              </c:strCache>
            </c:strRef>
          </c:tx>
          <c:spPr>
            <a:solidFill>
              <a:srgbClr val="FFFF00"/>
            </a:solidFill>
          </c:spPr>
          <c:invertIfNegative val="0"/>
          <c:dLbls>
            <c:dLbl>
              <c:idx val="0"/>
              <c:layout>
                <c:manualLayout>
                  <c:x val="0.27777756847379725"/>
                  <c:y val="3.88999766118344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FA2-41FC-AB1F-42E25813CE6C}"/>
                </c:ext>
              </c:extLst>
            </c:dLbl>
            <c:spPr>
              <a:solidFill>
                <a:srgbClr val="FFFF00"/>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zmienne!$J$7</c:f>
              <c:numCache>
                <c:formatCode>0.00%</c:formatCode>
                <c:ptCount val="1"/>
                <c:pt idx="0">
                  <c:v>0</c:v>
                </c:pt>
              </c:numCache>
            </c:numRef>
          </c:val>
          <c:extLst>
            <c:ext xmlns:c16="http://schemas.microsoft.com/office/drawing/2014/chart" uri="{C3380CC4-5D6E-409C-BE32-E72D297353CC}">
              <c16:uniqueId val="{0000000A-7FA2-41FC-AB1F-42E25813CE6C}"/>
            </c:ext>
          </c:extLst>
        </c:ser>
        <c:dLbls>
          <c:showLegendKey val="0"/>
          <c:showVal val="1"/>
          <c:showCatName val="0"/>
          <c:showSerName val="0"/>
          <c:showPercent val="0"/>
          <c:showBubbleSize val="0"/>
        </c:dLbls>
        <c:gapWidth val="55"/>
        <c:overlap val="100"/>
        <c:axId val="373521448"/>
        <c:axId val="373521056"/>
      </c:barChart>
      <c:catAx>
        <c:axId val="373521448"/>
        <c:scaling>
          <c:orientation val="minMax"/>
        </c:scaling>
        <c:delete val="1"/>
        <c:axPos val="b"/>
        <c:majorTickMark val="out"/>
        <c:minorTickMark val="none"/>
        <c:tickLblPos val="none"/>
        <c:crossAx val="373521056"/>
        <c:crosses val="autoZero"/>
        <c:auto val="1"/>
        <c:lblAlgn val="ctr"/>
        <c:lblOffset val="100"/>
        <c:noMultiLvlLbl val="0"/>
      </c:catAx>
      <c:valAx>
        <c:axId val="373521056"/>
        <c:scaling>
          <c:orientation val="minMax"/>
          <c:max val="1"/>
        </c:scaling>
        <c:delete val="0"/>
        <c:axPos val="l"/>
        <c:numFmt formatCode="0.00%" sourceLinked="1"/>
        <c:majorTickMark val="none"/>
        <c:minorTickMark val="none"/>
        <c:tickLblPos val="nextTo"/>
        <c:crossAx val="373521448"/>
        <c:crosses val="autoZero"/>
        <c:crossBetween val="between"/>
      </c:valAx>
    </c:plotArea>
    <c:legend>
      <c:legendPos val="r"/>
      <c:layout>
        <c:manualLayout>
          <c:xMode val="edge"/>
          <c:yMode val="edge"/>
          <c:x val="0.68910541385676072"/>
          <c:y val="0.19155315893570177"/>
          <c:w val="0.29371240377249558"/>
          <c:h val="0.76815750519336745"/>
        </c:manualLayout>
      </c:layout>
      <c:overlay val="0"/>
      <c:txPr>
        <a:bodyPr/>
        <a:lstStyle/>
        <a:p>
          <a:pPr>
            <a:defRPr sz="900"/>
          </a:pPr>
          <a:endParaRPr lang="pl-PL"/>
        </a:p>
      </c:txPr>
    </c:legend>
    <c:plotVisOnly val="1"/>
    <c:dispBlanksAs val="gap"/>
    <c:showDLblsOverMax val="0"/>
  </c:chart>
  <c:spPr>
    <a:noFill/>
    <a:ln>
      <a:noFill/>
    </a:ln>
  </c:spPr>
  <c:txPr>
    <a:bodyPr/>
    <a:lstStyle/>
    <a:p>
      <a:pPr>
        <a:defRPr>
          <a:latin typeface="+mj-lt"/>
        </a:defRPr>
      </a:pPr>
      <a:endParaRPr lang="pl-PL"/>
    </a:p>
  </c:tx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mj-lt"/>
              </a:defRPr>
            </a:pPr>
            <a:r>
              <a:rPr lang="pl-PL" sz="1100">
                <a:latin typeface="+mj-lt"/>
              </a:rPr>
              <a:t>Rozkład rocznych kosztów pracy pracownika (100%=całkowity koszt płacowy pracownika)</a:t>
            </a:r>
          </a:p>
        </c:rich>
      </c:tx>
      <c:layout/>
      <c:overlay val="0"/>
    </c:title>
    <c:autoTitleDeleted val="0"/>
    <c:plotArea>
      <c:layout>
        <c:manualLayout>
          <c:layoutTarget val="inner"/>
          <c:xMode val="edge"/>
          <c:yMode val="edge"/>
          <c:x val="0.14103018372703452"/>
          <c:y val="0.16401898965816541"/>
          <c:w val="0.27050504213289128"/>
          <c:h val="0.79912005521222196"/>
        </c:manualLayout>
      </c:layout>
      <c:barChart>
        <c:barDir val="col"/>
        <c:grouping val="stacked"/>
        <c:varyColors val="0"/>
        <c:ser>
          <c:idx val="0"/>
          <c:order val="0"/>
          <c:tx>
            <c:strRef>
              <c:f>zmienne!$H$11</c:f>
              <c:strCache>
                <c:ptCount val="1"/>
                <c:pt idx="0">
                  <c:v>netto</c:v>
                </c:pt>
              </c:strCache>
            </c:strRef>
          </c:tx>
          <c:spPr>
            <a:solidFill>
              <a:srgbClr val="33CC33"/>
            </a:solidFill>
          </c:spPr>
          <c:invertIfNegative val="0"/>
          <c:dLbls>
            <c:dLbl>
              <c:idx val="0"/>
              <c:layout>
                <c:manualLayout>
                  <c:x val="0"/>
                  <c:y val="-3.60950714494022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21-408D-863C-E6A6DA85803C}"/>
                </c:ext>
              </c:extLst>
            </c:dLbl>
            <c:spPr>
              <a:noFill/>
              <a:ln>
                <a:noFill/>
              </a:ln>
              <a:effectLst/>
            </c:spPr>
            <c:txPr>
              <a:bodyPr/>
              <a:lstStyle/>
              <a:p>
                <a:pPr>
                  <a:defRPr sz="1200" b="1">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zmienne!$J$11</c:f>
              <c:numCache>
                <c:formatCode>0.00%</c:formatCode>
                <c:ptCount val="1"/>
                <c:pt idx="0">
                  <c:v>0</c:v>
                </c:pt>
              </c:numCache>
            </c:numRef>
          </c:val>
          <c:extLst>
            <c:ext xmlns:c16="http://schemas.microsoft.com/office/drawing/2014/chart" uri="{C3380CC4-5D6E-409C-BE32-E72D297353CC}">
              <c16:uniqueId val="{00000001-5221-408D-863C-E6A6DA85803C}"/>
            </c:ext>
          </c:extLst>
        </c:ser>
        <c:ser>
          <c:idx val="1"/>
          <c:order val="1"/>
          <c:tx>
            <c:strRef>
              <c:f>zmienne!$H$12</c:f>
              <c:strCache>
                <c:ptCount val="1"/>
                <c:pt idx="0">
                  <c:v>ub. zdrowotne</c:v>
                </c:pt>
              </c:strCache>
            </c:strRef>
          </c:tx>
          <c:spPr>
            <a:solidFill>
              <a:srgbClr val="C00000"/>
            </a:solidFill>
          </c:spPr>
          <c:invertIfNegative val="0"/>
          <c:dLbls>
            <c:dLbl>
              <c:idx val="0"/>
              <c:layout>
                <c:manualLayout>
                  <c:x val="0.23611111111111124"/>
                  <c:y val="0.4132657884589071"/>
                </c:manualLayout>
              </c:layout>
              <c:spPr>
                <a:solidFill>
                  <a:srgbClr val="C00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21-408D-863C-E6A6DA85803C}"/>
                </c:ext>
              </c:extLst>
            </c:dLbl>
            <c:spPr>
              <a:solidFill>
                <a:srgbClr val="C00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zmienne!$J$12</c:f>
              <c:numCache>
                <c:formatCode>0.00%</c:formatCode>
                <c:ptCount val="1"/>
                <c:pt idx="0">
                  <c:v>0</c:v>
                </c:pt>
              </c:numCache>
            </c:numRef>
          </c:val>
          <c:extLst>
            <c:ext xmlns:c16="http://schemas.microsoft.com/office/drawing/2014/chart" uri="{C3380CC4-5D6E-409C-BE32-E72D297353CC}">
              <c16:uniqueId val="{00000003-5221-408D-863C-E6A6DA85803C}"/>
            </c:ext>
          </c:extLst>
        </c:ser>
        <c:ser>
          <c:idx val="2"/>
          <c:order val="2"/>
          <c:tx>
            <c:strRef>
              <c:f>zmienne!$H$13</c:f>
              <c:strCache>
                <c:ptCount val="1"/>
                <c:pt idx="0">
                  <c:v>ub. chorobowe</c:v>
                </c:pt>
              </c:strCache>
            </c:strRef>
          </c:tx>
          <c:spPr>
            <a:solidFill>
              <a:srgbClr val="FF0000"/>
            </a:solidFill>
          </c:spPr>
          <c:invertIfNegative val="0"/>
          <c:dLbls>
            <c:dLbl>
              <c:idx val="0"/>
              <c:layout>
                <c:manualLayout>
                  <c:x val="0.2388888888888889"/>
                  <c:y val="0.376810082504628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21-408D-863C-E6A6DA85803C}"/>
                </c:ext>
              </c:extLst>
            </c:dLbl>
            <c:spPr>
              <a:solidFill>
                <a:srgbClr val="FF0000"/>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zmienne!$J$13</c:f>
              <c:numCache>
                <c:formatCode>0.00%</c:formatCode>
                <c:ptCount val="1"/>
                <c:pt idx="0">
                  <c:v>0</c:v>
                </c:pt>
              </c:numCache>
            </c:numRef>
          </c:val>
          <c:extLst>
            <c:ext xmlns:c16="http://schemas.microsoft.com/office/drawing/2014/chart" uri="{C3380CC4-5D6E-409C-BE32-E72D297353CC}">
              <c16:uniqueId val="{00000005-5221-408D-863C-E6A6DA85803C}"/>
            </c:ext>
          </c:extLst>
        </c:ser>
        <c:ser>
          <c:idx val="3"/>
          <c:order val="3"/>
          <c:tx>
            <c:strRef>
              <c:f>zmienne!$H$14</c:f>
              <c:strCache>
                <c:ptCount val="1"/>
                <c:pt idx="0">
                  <c:v>ub. rentowe</c:v>
                </c:pt>
              </c:strCache>
            </c:strRef>
          </c:tx>
          <c:spPr>
            <a:solidFill>
              <a:srgbClr val="FF6600"/>
            </a:solidFill>
          </c:spPr>
          <c:invertIfNegative val="0"/>
          <c:dLbls>
            <c:dLbl>
              <c:idx val="0"/>
              <c:layout>
                <c:manualLayout>
                  <c:x val="0.2388888888888889"/>
                  <c:y val="0.3142294339701569"/>
                </c:manualLayout>
              </c:layout>
              <c:spPr>
                <a:solidFill>
                  <a:srgbClr val="FF66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21-408D-863C-E6A6DA85803C}"/>
                </c:ext>
              </c:extLst>
            </c:dLbl>
            <c:spPr>
              <a:solidFill>
                <a:srgbClr val="FF66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zmienne!$J$14</c:f>
              <c:numCache>
                <c:formatCode>0.00%</c:formatCode>
                <c:ptCount val="1"/>
                <c:pt idx="0">
                  <c:v>0</c:v>
                </c:pt>
              </c:numCache>
            </c:numRef>
          </c:val>
          <c:extLst>
            <c:ext xmlns:c16="http://schemas.microsoft.com/office/drawing/2014/chart" uri="{C3380CC4-5D6E-409C-BE32-E72D297353CC}">
              <c16:uniqueId val="{00000007-5221-408D-863C-E6A6DA85803C}"/>
            </c:ext>
          </c:extLst>
        </c:ser>
        <c:ser>
          <c:idx val="4"/>
          <c:order val="4"/>
          <c:tx>
            <c:strRef>
              <c:f>zmienne!$H$15</c:f>
              <c:strCache>
                <c:ptCount val="1"/>
                <c:pt idx="0">
                  <c:v>ub. emerytalne</c:v>
                </c:pt>
              </c:strCache>
            </c:strRef>
          </c:tx>
          <c:spPr>
            <a:solidFill>
              <a:srgbClr val="FFC000"/>
            </a:solidFill>
          </c:spPr>
          <c:invertIfNegative val="0"/>
          <c:dLbls>
            <c:dLbl>
              <c:idx val="0"/>
              <c:layout>
                <c:manualLayout>
                  <c:x val="0.2388888888888889"/>
                  <c:y val="0.27040055003084845"/>
                </c:manualLayout>
              </c:layout>
              <c:spPr>
                <a:solidFill>
                  <a:srgbClr val="FFC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221-408D-863C-E6A6DA85803C}"/>
                </c:ext>
              </c:extLst>
            </c:dLbl>
            <c:spPr>
              <a:solidFill>
                <a:srgbClr val="FFC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zmienne!$J$15</c:f>
              <c:numCache>
                <c:formatCode>0.00%</c:formatCode>
                <c:ptCount val="1"/>
                <c:pt idx="0">
                  <c:v>0</c:v>
                </c:pt>
              </c:numCache>
            </c:numRef>
          </c:val>
          <c:extLst>
            <c:ext xmlns:c16="http://schemas.microsoft.com/office/drawing/2014/chart" uri="{C3380CC4-5D6E-409C-BE32-E72D297353CC}">
              <c16:uniqueId val="{00000009-5221-408D-863C-E6A6DA85803C}"/>
            </c:ext>
          </c:extLst>
        </c:ser>
        <c:ser>
          <c:idx val="5"/>
          <c:order val="5"/>
          <c:tx>
            <c:strRef>
              <c:f>zmienne!$H$16</c:f>
              <c:strCache>
                <c:ptCount val="1"/>
                <c:pt idx="0">
                  <c:v>zaliczka na PIT</c:v>
                </c:pt>
              </c:strCache>
            </c:strRef>
          </c:tx>
          <c:spPr>
            <a:solidFill>
              <a:srgbClr val="FFFF00"/>
            </a:solidFill>
          </c:spPr>
          <c:invertIfNegative val="0"/>
          <c:dLbls>
            <c:dLbl>
              <c:idx val="0"/>
              <c:layout>
                <c:manualLayout>
                  <c:x val="0.23514347223450988"/>
                  <c:y val="0.25048101557026486"/>
                </c:manualLayout>
              </c:layout>
              <c:spPr>
                <a:solidFill>
                  <a:srgbClr val="FFFF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221-408D-863C-E6A6DA85803C}"/>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zmienne!$J$16</c:f>
              <c:numCache>
                <c:formatCode>0.00%</c:formatCode>
                <c:ptCount val="1"/>
                <c:pt idx="0">
                  <c:v>0</c:v>
                </c:pt>
              </c:numCache>
            </c:numRef>
          </c:val>
          <c:extLst>
            <c:ext xmlns:c16="http://schemas.microsoft.com/office/drawing/2014/chart" uri="{C3380CC4-5D6E-409C-BE32-E72D297353CC}">
              <c16:uniqueId val="{0000000B-5221-408D-863C-E6A6DA85803C}"/>
            </c:ext>
          </c:extLst>
        </c:ser>
        <c:ser>
          <c:idx val="6"/>
          <c:order val="6"/>
          <c:tx>
            <c:strRef>
              <c:f>zmienne!$H$17</c:f>
              <c:strCache>
                <c:ptCount val="1"/>
                <c:pt idx="0">
                  <c:v>ub. emerytalne </c:v>
                </c:pt>
              </c:strCache>
            </c:strRef>
          </c:tx>
          <c:spPr>
            <a:solidFill>
              <a:schemeClr val="accent2">
                <a:lumMod val="75000"/>
              </a:schemeClr>
            </a:solidFill>
          </c:spPr>
          <c:invertIfNegative val="0"/>
          <c:dLbls>
            <c:dLbl>
              <c:idx val="0"/>
              <c:layout>
                <c:manualLayout>
                  <c:x val="0.2388888888888889"/>
                  <c:y val="0.25649109598351999"/>
                </c:manualLayout>
              </c:layout>
              <c:spPr>
                <a:solidFill>
                  <a:schemeClr val="accent2">
                    <a:lumMod val="75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221-408D-863C-E6A6DA85803C}"/>
                </c:ext>
              </c:extLst>
            </c:dLbl>
            <c:spPr>
              <a:solidFill>
                <a:schemeClr val="accent2">
                  <a:lumMod val="75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zmienne!$J$17</c:f>
              <c:numCache>
                <c:formatCode>0.00%</c:formatCode>
                <c:ptCount val="1"/>
                <c:pt idx="0">
                  <c:v>0</c:v>
                </c:pt>
              </c:numCache>
            </c:numRef>
          </c:val>
          <c:extLst>
            <c:ext xmlns:c16="http://schemas.microsoft.com/office/drawing/2014/chart" uri="{C3380CC4-5D6E-409C-BE32-E72D297353CC}">
              <c16:uniqueId val="{0000000D-5221-408D-863C-E6A6DA85803C}"/>
            </c:ext>
          </c:extLst>
        </c:ser>
        <c:ser>
          <c:idx val="7"/>
          <c:order val="7"/>
          <c:tx>
            <c:strRef>
              <c:f>zmienne!$H$18</c:f>
              <c:strCache>
                <c:ptCount val="1"/>
                <c:pt idx="0">
                  <c:v>ub. rentowe</c:v>
                </c:pt>
              </c:strCache>
            </c:strRef>
          </c:tx>
          <c:spPr>
            <a:solidFill>
              <a:schemeClr val="accent1">
                <a:lumMod val="60000"/>
                <a:lumOff val="40000"/>
              </a:schemeClr>
            </a:solidFill>
          </c:spPr>
          <c:invertIfNegative val="0"/>
          <c:dLbls>
            <c:dLbl>
              <c:idx val="0"/>
              <c:layout>
                <c:manualLayout>
                  <c:x val="0.2388888888888889"/>
                  <c:y val="0.20649501730610406"/>
                </c:manualLayout>
              </c:layout>
              <c:spPr>
                <a:solidFill>
                  <a:schemeClr val="accent1">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221-408D-863C-E6A6DA85803C}"/>
                </c:ext>
              </c:extLst>
            </c:dLbl>
            <c:spPr>
              <a:solidFill>
                <a:schemeClr val="accent1">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zmienne!$J$18</c:f>
              <c:numCache>
                <c:formatCode>0.00%</c:formatCode>
                <c:ptCount val="1"/>
                <c:pt idx="0">
                  <c:v>0</c:v>
                </c:pt>
              </c:numCache>
            </c:numRef>
          </c:val>
          <c:extLst>
            <c:ext xmlns:c16="http://schemas.microsoft.com/office/drawing/2014/chart" uri="{C3380CC4-5D6E-409C-BE32-E72D297353CC}">
              <c16:uniqueId val="{0000000F-5221-408D-863C-E6A6DA85803C}"/>
            </c:ext>
          </c:extLst>
        </c:ser>
        <c:ser>
          <c:idx val="8"/>
          <c:order val="8"/>
          <c:tx>
            <c:strRef>
              <c:f>zmienne!$H$19</c:f>
              <c:strCache>
                <c:ptCount val="1"/>
                <c:pt idx="0">
                  <c:v>wypadkowe</c:v>
                </c:pt>
              </c:strCache>
            </c:strRef>
          </c:tx>
          <c:spPr>
            <a:solidFill>
              <a:schemeClr val="accent3">
                <a:lumMod val="40000"/>
                <a:lumOff val="60000"/>
              </a:schemeClr>
            </a:solidFill>
          </c:spPr>
          <c:invertIfNegative val="0"/>
          <c:dLbls>
            <c:dLbl>
              <c:idx val="0"/>
              <c:layout>
                <c:manualLayout>
                  <c:x val="0.2388888888888889"/>
                  <c:y val="0.15499942487268842"/>
                </c:manualLayout>
              </c:layout>
              <c:spPr>
                <a:solidFill>
                  <a:schemeClr val="accent3">
                    <a:lumMod val="40000"/>
                    <a:lumOff val="6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221-408D-863C-E6A6DA85803C}"/>
                </c:ext>
              </c:extLst>
            </c:dLbl>
            <c:spPr>
              <a:solidFill>
                <a:schemeClr val="accent3">
                  <a:lumMod val="40000"/>
                  <a:lumOff val="6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zmienne!$J$19</c:f>
              <c:numCache>
                <c:formatCode>0.00%</c:formatCode>
                <c:ptCount val="1"/>
                <c:pt idx="0">
                  <c:v>0</c:v>
                </c:pt>
              </c:numCache>
            </c:numRef>
          </c:val>
          <c:extLst>
            <c:ext xmlns:c16="http://schemas.microsoft.com/office/drawing/2014/chart" uri="{C3380CC4-5D6E-409C-BE32-E72D297353CC}">
              <c16:uniqueId val="{00000011-5221-408D-863C-E6A6DA85803C}"/>
            </c:ext>
          </c:extLst>
        </c:ser>
        <c:ser>
          <c:idx val="9"/>
          <c:order val="9"/>
          <c:tx>
            <c:strRef>
              <c:f>zmienne!$H$20</c:f>
              <c:strCache>
                <c:ptCount val="1"/>
                <c:pt idx="0">
                  <c:v>fundusz pracy</c:v>
                </c:pt>
              </c:strCache>
            </c:strRef>
          </c:tx>
          <c:spPr>
            <a:solidFill>
              <a:schemeClr val="accent4">
                <a:lumMod val="60000"/>
                <a:lumOff val="40000"/>
              </a:schemeClr>
            </a:solidFill>
          </c:spPr>
          <c:invertIfNegative val="0"/>
          <c:dLbls>
            <c:dLbl>
              <c:idx val="0"/>
              <c:layout>
                <c:manualLayout>
                  <c:x val="0.2388888888888889"/>
                  <c:y val="9.0561637962585373E-2"/>
                </c:manualLayout>
              </c:layout>
              <c:spPr>
                <a:solidFill>
                  <a:schemeClr val="accent4">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221-408D-863C-E6A6DA85803C}"/>
                </c:ext>
              </c:extLst>
            </c:dLbl>
            <c:spPr>
              <a:solidFill>
                <a:schemeClr val="accent4">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zmienne!$J$20</c:f>
              <c:numCache>
                <c:formatCode>0.00%</c:formatCode>
                <c:ptCount val="1"/>
                <c:pt idx="0">
                  <c:v>0</c:v>
                </c:pt>
              </c:numCache>
            </c:numRef>
          </c:val>
          <c:extLst>
            <c:ext xmlns:c16="http://schemas.microsoft.com/office/drawing/2014/chart" uri="{C3380CC4-5D6E-409C-BE32-E72D297353CC}">
              <c16:uniqueId val="{00000013-5221-408D-863C-E6A6DA85803C}"/>
            </c:ext>
          </c:extLst>
        </c:ser>
        <c:ser>
          <c:idx val="10"/>
          <c:order val="10"/>
          <c:tx>
            <c:strRef>
              <c:f>zmienne!$H$21</c:f>
              <c:strCache>
                <c:ptCount val="1"/>
                <c:pt idx="0">
                  <c:v>fundusz gwar.św.prac.</c:v>
                </c:pt>
              </c:strCache>
            </c:strRef>
          </c:tx>
          <c:spPr>
            <a:solidFill>
              <a:schemeClr val="accent5">
                <a:lumMod val="60000"/>
                <a:lumOff val="40000"/>
              </a:schemeClr>
            </a:solidFill>
          </c:spPr>
          <c:invertIfNegative val="0"/>
          <c:dLbls>
            <c:dLbl>
              <c:idx val="0"/>
              <c:layout>
                <c:manualLayout>
                  <c:x val="0.23695390604264371"/>
                  <c:y val="2.525933013353414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221-408D-863C-E6A6DA85803C}"/>
                </c:ext>
              </c:extLst>
            </c:dLbl>
            <c:spPr>
              <a:solidFill>
                <a:schemeClr val="accent5">
                  <a:lumMod val="60000"/>
                  <a:lumOff val="40000"/>
                </a:schemeClr>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zmienne!$J$21</c:f>
              <c:numCache>
                <c:formatCode>0.00%</c:formatCode>
                <c:ptCount val="1"/>
                <c:pt idx="0">
                  <c:v>0</c:v>
                </c:pt>
              </c:numCache>
            </c:numRef>
          </c:val>
          <c:extLst>
            <c:ext xmlns:c16="http://schemas.microsoft.com/office/drawing/2014/chart" uri="{C3380CC4-5D6E-409C-BE32-E72D297353CC}">
              <c16:uniqueId val="{00000015-5221-408D-863C-E6A6DA85803C}"/>
            </c:ext>
          </c:extLst>
        </c:ser>
        <c:dLbls>
          <c:showLegendKey val="0"/>
          <c:showVal val="1"/>
          <c:showCatName val="0"/>
          <c:showSerName val="0"/>
          <c:showPercent val="0"/>
          <c:showBubbleSize val="0"/>
        </c:dLbls>
        <c:gapWidth val="55"/>
        <c:overlap val="100"/>
        <c:axId val="373522232"/>
        <c:axId val="373523016"/>
      </c:barChart>
      <c:catAx>
        <c:axId val="373522232"/>
        <c:scaling>
          <c:orientation val="minMax"/>
        </c:scaling>
        <c:delete val="0"/>
        <c:axPos val="b"/>
        <c:majorTickMark val="none"/>
        <c:minorTickMark val="none"/>
        <c:tickLblPos val="none"/>
        <c:crossAx val="373523016"/>
        <c:crosses val="autoZero"/>
        <c:auto val="1"/>
        <c:lblAlgn val="ctr"/>
        <c:lblOffset val="100"/>
        <c:noMultiLvlLbl val="0"/>
      </c:catAx>
      <c:valAx>
        <c:axId val="373523016"/>
        <c:scaling>
          <c:orientation val="minMax"/>
          <c:max val="1"/>
        </c:scaling>
        <c:delete val="0"/>
        <c:axPos val="l"/>
        <c:numFmt formatCode="0.00%" sourceLinked="1"/>
        <c:majorTickMark val="none"/>
        <c:minorTickMark val="none"/>
        <c:tickLblPos val="nextTo"/>
        <c:txPr>
          <a:bodyPr/>
          <a:lstStyle/>
          <a:p>
            <a:pPr>
              <a:defRPr>
                <a:latin typeface="+mj-lt"/>
              </a:defRPr>
            </a:pPr>
            <a:endParaRPr lang="pl-PL"/>
          </a:p>
        </c:txPr>
        <c:crossAx val="373522232"/>
        <c:crosses val="autoZero"/>
        <c:crossBetween val="between"/>
      </c:valAx>
    </c:plotArea>
    <c:legend>
      <c:legendPos val="r"/>
      <c:layout>
        <c:manualLayout>
          <c:xMode val="edge"/>
          <c:yMode val="edge"/>
          <c:x val="0.57429561473355295"/>
          <c:y val="0.15637424057052662"/>
          <c:w val="0.40324574596714735"/>
          <c:h val="0.82752879848352434"/>
        </c:manualLayout>
      </c:layout>
      <c:overlay val="0"/>
      <c:txPr>
        <a:bodyPr/>
        <a:lstStyle/>
        <a:p>
          <a:pPr>
            <a:defRPr sz="900">
              <a:latin typeface="+mj-lt"/>
            </a:defRPr>
          </a:pPr>
          <a:endParaRPr lang="pl-PL"/>
        </a:p>
      </c:txPr>
    </c:legend>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mj-lt"/>
              </a:defRPr>
            </a:pPr>
            <a:r>
              <a:rPr lang="pl-PL" sz="1100">
                <a:latin typeface="+mj-lt"/>
              </a:rPr>
              <a:t>Rozkład rocznych kosztów pracy pracownika (100%=netto)</a:t>
            </a:r>
          </a:p>
        </c:rich>
      </c:tx>
      <c:layout/>
      <c:overlay val="0"/>
    </c:title>
    <c:autoTitleDeleted val="0"/>
    <c:plotArea>
      <c:layout>
        <c:manualLayout>
          <c:layoutTarget val="inner"/>
          <c:xMode val="edge"/>
          <c:yMode val="edge"/>
          <c:x val="0.14103018372703457"/>
          <c:y val="0.16401898965816541"/>
          <c:w val="0.27050504213289128"/>
          <c:h val="0.79912005521222196"/>
        </c:manualLayout>
      </c:layout>
      <c:barChart>
        <c:barDir val="col"/>
        <c:grouping val="stacked"/>
        <c:varyColors val="0"/>
        <c:ser>
          <c:idx val="0"/>
          <c:order val="0"/>
          <c:tx>
            <c:strRef>
              <c:f>zmienne!$H$11</c:f>
              <c:strCache>
                <c:ptCount val="1"/>
                <c:pt idx="0">
                  <c:v>netto</c:v>
                </c:pt>
              </c:strCache>
            </c:strRef>
          </c:tx>
          <c:spPr>
            <a:solidFill>
              <a:srgbClr val="33CC33"/>
            </a:solidFill>
          </c:spPr>
          <c:invertIfNegative val="0"/>
          <c:dLbls>
            <c:dLbl>
              <c:idx val="0"/>
              <c:layout>
                <c:manualLayout>
                  <c:x val="0"/>
                  <c:y val="-3.6095071449402202E-2"/>
                </c:manualLayout>
              </c:layout>
              <c:numFmt formatCode="0%" sourceLinked="0"/>
              <c:spPr/>
              <c:txPr>
                <a:bodyPr/>
                <a:lstStyle/>
                <a:p>
                  <a:pPr>
                    <a:defRPr sz="1200" b="1">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89-43E4-ABDB-7229914034CA}"/>
                </c:ext>
              </c:extLst>
            </c:dLbl>
            <c:spPr>
              <a:noFill/>
              <a:ln>
                <a:noFill/>
              </a:ln>
              <a:effectLst/>
            </c:spPr>
            <c:txPr>
              <a:bodyPr/>
              <a:lstStyle/>
              <a:p>
                <a:pPr>
                  <a:defRPr sz="1200" b="1">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zmienne!$K$11</c:f>
              <c:numCache>
                <c:formatCode>0.00%</c:formatCode>
                <c:ptCount val="1"/>
                <c:pt idx="0">
                  <c:v>1</c:v>
                </c:pt>
              </c:numCache>
            </c:numRef>
          </c:val>
          <c:extLst>
            <c:ext xmlns:c16="http://schemas.microsoft.com/office/drawing/2014/chart" uri="{C3380CC4-5D6E-409C-BE32-E72D297353CC}">
              <c16:uniqueId val="{00000001-8489-43E4-ABDB-7229914034CA}"/>
            </c:ext>
          </c:extLst>
        </c:ser>
        <c:ser>
          <c:idx val="1"/>
          <c:order val="1"/>
          <c:tx>
            <c:strRef>
              <c:f>zmienne!$H$12</c:f>
              <c:strCache>
                <c:ptCount val="1"/>
                <c:pt idx="0">
                  <c:v>ub. zdrowotne</c:v>
                </c:pt>
              </c:strCache>
            </c:strRef>
          </c:tx>
          <c:spPr>
            <a:solidFill>
              <a:srgbClr val="C00000"/>
            </a:solidFill>
          </c:spPr>
          <c:invertIfNegative val="0"/>
          <c:dLbls>
            <c:dLbl>
              <c:idx val="0"/>
              <c:layout>
                <c:manualLayout>
                  <c:x val="0.23611106195995163"/>
                  <c:y val="0.38006530309209435"/>
                </c:manualLayout>
              </c:layout>
              <c:spPr>
                <a:solidFill>
                  <a:srgbClr val="C00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89-43E4-ABDB-7229914034CA}"/>
                </c:ext>
              </c:extLst>
            </c:dLbl>
            <c:spPr>
              <a:solidFill>
                <a:srgbClr val="C00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zmienne!$K$12</c:f>
              <c:numCache>
                <c:formatCode>0.00%</c:formatCode>
                <c:ptCount val="1"/>
                <c:pt idx="0">
                  <c:v>0</c:v>
                </c:pt>
              </c:numCache>
            </c:numRef>
          </c:val>
          <c:extLst>
            <c:ext xmlns:c16="http://schemas.microsoft.com/office/drawing/2014/chart" uri="{C3380CC4-5D6E-409C-BE32-E72D297353CC}">
              <c16:uniqueId val="{00000003-8489-43E4-ABDB-7229914034CA}"/>
            </c:ext>
          </c:extLst>
        </c:ser>
        <c:ser>
          <c:idx val="2"/>
          <c:order val="2"/>
          <c:tx>
            <c:strRef>
              <c:f>zmienne!$H$13</c:f>
              <c:strCache>
                <c:ptCount val="1"/>
                <c:pt idx="0">
                  <c:v>ub. chorobowe</c:v>
                </c:pt>
              </c:strCache>
            </c:strRef>
          </c:tx>
          <c:spPr>
            <a:solidFill>
              <a:srgbClr val="FF0000"/>
            </a:solidFill>
          </c:spPr>
          <c:invertIfNegative val="0"/>
          <c:dLbls>
            <c:dLbl>
              <c:idx val="0"/>
              <c:layout>
                <c:manualLayout>
                  <c:x val="0.23888879058657025"/>
                  <c:y val="0.3436095512961277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489-43E4-ABDB-7229914034CA}"/>
                </c:ext>
              </c:extLst>
            </c:dLbl>
            <c:spPr>
              <a:solidFill>
                <a:srgbClr val="FF0000"/>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zmienne!$K$13</c:f>
              <c:numCache>
                <c:formatCode>0.00%</c:formatCode>
                <c:ptCount val="1"/>
                <c:pt idx="0">
                  <c:v>0</c:v>
                </c:pt>
              </c:numCache>
            </c:numRef>
          </c:val>
          <c:extLst>
            <c:ext xmlns:c16="http://schemas.microsoft.com/office/drawing/2014/chart" uri="{C3380CC4-5D6E-409C-BE32-E72D297353CC}">
              <c16:uniqueId val="{00000005-8489-43E4-ABDB-7229914034CA}"/>
            </c:ext>
          </c:extLst>
        </c:ser>
        <c:ser>
          <c:idx val="3"/>
          <c:order val="3"/>
          <c:tx>
            <c:strRef>
              <c:f>zmienne!$H$14</c:f>
              <c:strCache>
                <c:ptCount val="1"/>
                <c:pt idx="0">
                  <c:v>ub. rentowe</c:v>
                </c:pt>
              </c:strCache>
            </c:strRef>
          </c:tx>
          <c:spPr>
            <a:solidFill>
              <a:srgbClr val="FF6600"/>
            </a:solidFill>
          </c:spPr>
          <c:invertIfNegative val="0"/>
          <c:dLbls>
            <c:dLbl>
              <c:idx val="0"/>
              <c:layout>
                <c:manualLayout>
                  <c:x val="0.23888879058657025"/>
                  <c:y val="0.27106874339910775"/>
                </c:manualLayout>
              </c:layout>
              <c:spPr>
                <a:solidFill>
                  <a:srgbClr val="FF66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489-43E4-ABDB-7229914034CA}"/>
                </c:ext>
              </c:extLst>
            </c:dLbl>
            <c:spPr>
              <a:solidFill>
                <a:srgbClr val="FF66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zmienne!$K$14</c:f>
              <c:numCache>
                <c:formatCode>0.00%</c:formatCode>
                <c:ptCount val="1"/>
                <c:pt idx="0">
                  <c:v>0</c:v>
                </c:pt>
              </c:numCache>
            </c:numRef>
          </c:val>
          <c:extLst>
            <c:ext xmlns:c16="http://schemas.microsoft.com/office/drawing/2014/chart" uri="{C3380CC4-5D6E-409C-BE32-E72D297353CC}">
              <c16:uniqueId val="{00000007-8489-43E4-ABDB-7229914034CA}"/>
            </c:ext>
          </c:extLst>
        </c:ser>
        <c:ser>
          <c:idx val="4"/>
          <c:order val="4"/>
          <c:tx>
            <c:strRef>
              <c:f>zmienne!$H$15</c:f>
              <c:strCache>
                <c:ptCount val="1"/>
                <c:pt idx="0">
                  <c:v>ub. emerytalne</c:v>
                </c:pt>
              </c:strCache>
            </c:strRef>
          </c:tx>
          <c:spPr>
            <a:solidFill>
              <a:srgbClr val="FFC000"/>
            </a:solidFill>
          </c:spPr>
          <c:invertIfNegative val="0"/>
          <c:dLbls>
            <c:dLbl>
              <c:idx val="0"/>
              <c:layout>
                <c:manualLayout>
                  <c:x val="0.23514347223450988"/>
                  <c:y val="0.22059975321809872"/>
                </c:manualLayout>
              </c:layout>
              <c:spPr>
                <a:solidFill>
                  <a:srgbClr val="FFC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489-43E4-ABDB-7229914034CA}"/>
                </c:ext>
              </c:extLst>
            </c:dLbl>
            <c:spPr>
              <a:solidFill>
                <a:srgbClr val="FFC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zmienne!$K$15</c:f>
              <c:numCache>
                <c:formatCode>0.00%</c:formatCode>
                <c:ptCount val="1"/>
                <c:pt idx="0">
                  <c:v>0</c:v>
                </c:pt>
              </c:numCache>
            </c:numRef>
          </c:val>
          <c:extLst>
            <c:ext xmlns:c16="http://schemas.microsoft.com/office/drawing/2014/chart" uri="{C3380CC4-5D6E-409C-BE32-E72D297353CC}">
              <c16:uniqueId val="{00000009-8489-43E4-ABDB-7229914034CA}"/>
            </c:ext>
          </c:extLst>
        </c:ser>
        <c:ser>
          <c:idx val="5"/>
          <c:order val="5"/>
          <c:tx>
            <c:strRef>
              <c:f>zmienne!$H$16</c:f>
              <c:strCache>
                <c:ptCount val="1"/>
                <c:pt idx="0">
                  <c:v>zaliczka na PIT</c:v>
                </c:pt>
              </c:strCache>
            </c:strRef>
          </c:tx>
          <c:spPr>
            <a:solidFill>
              <a:srgbClr val="FFFF00"/>
            </a:solidFill>
          </c:spPr>
          <c:invertIfNegative val="0"/>
          <c:dLbls>
            <c:dLbl>
              <c:idx val="0"/>
              <c:layout>
                <c:manualLayout>
                  <c:x val="0.23139815388245052"/>
                  <c:y val="0.21396043124091599"/>
                </c:manualLayout>
              </c:layout>
              <c:spPr>
                <a:solidFill>
                  <a:srgbClr val="FFFF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489-43E4-ABDB-7229914034CA}"/>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zmienne!$K$16</c:f>
              <c:numCache>
                <c:formatCode>0.00%</c:formatCode>
                <c:ptCount val="1"/>
                <c:pt idx="0">
                  <c:v>0</c:v>
                </c:pt>
              </c:numCache>
            </c:numRef>
          </c:val>
          <c:extLst>
            <c:ext xmlns:c16="http://schemas.microsoft.com/office/drawing/2014/chart" uri="{C3380CC4-5D6E-409C-BE32-E72D297353CC}">
              <c16:uniqueId val="{0000000B-8489-43E4-ABDB-7229914034CA}"/>
            </c:ext>
          </c:extLst>
        </c:ser>
        <c:ser>
          <c:idx val="6"/>
          <c:order val="6"/>
          <c:tx>
            <c:strRef>
              <c:f>zmienne!$H$17</c:f>
              <c:strCache>
                <c:ptCount val="1"/>
                <c:pt idx="0">
                  <c:v>ub. emerytalne </c:v>
                </c:pt>
              </c:strCache>
            </c:strRef>
          </c:tx>
          <c:spPr>
            <a:solidFill>
              <a:schemeClr val="accent2">
                <a:lumMod val="75000"/>
              </a:schemeClr>
            </a:solidFill>
          </c:spPr>
          <c:invertIfNegative val="0"/>
          <c:dLbls>
            <c:dLbl>
              <c:idx val="0"/>
              <c:layout>
                <c:manualLayout>
                  <c:x val="0.23139815388245052"/>
                  <c:y val="0.20336998462841546"/>
                </c:manualLayout>
              </c:layout>
              <c:spPr>
                <a:solidFill>
                  <a:schemeClr val="accent2">
                    <a:lumMod val="75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489-43E4-ABDB-7229914034CA}"/>
                </c:ext>
              </c:extLst>
            </c:dLbl>
            <c:spPr>
              <a:solidFill>
                <a:schemeClr val="accent2">
                  <a:lumMod val="75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zmienne!$K$17</c:f>
              <c:numCache>
                <c:formatCode>0.00%</c:formatCode>
                <c:ptCount val="1"/>
                <c:pt idx="0">
                  <c:v>0</c:v>
                </c:pt>
              </c:numCache>
            </c:numRef>
          </c:val>
          <c:extLst>
            <c:ext xmlns:c16="http://schemas.microsoft.com/office/drawing/2014/chart" uri="{C3380CC4-5D6E-409C-BE32-E72D297353CC}">
              <c16:uniqueId val="{0000000D-8489-43E4-ABDB-7229914034CA}"/>
            </c:ext>
          </c:extLst>
        </c:ser>
        <c:ser>
          <c:idx val="7"/>
          <c:order val="7"/>
          <c:tx>
            <c:strRef>
              <c:f>zmienne!$H$18</c:f>
              <c:strCache>
                <c:ptCount val="1"/>
                <c:pt idx="0">
                  <c:v>ub. rentowe</c:v>
                </c:pt>
              </c:strCache>
            </c:strRef>
          </c:tx>
          <c:spPr>
            <a:solidFill>
              <a:schemeClr val="accent1">
                <a:lumMod val="60000"/>
                <a:lumOff val="40000"/>
              </a:schemeClr>
            </a:solidFill>
          </c:spPr>
          <c:invertIfNegative val="0"/>
          <c:dLbls>
            <c:dLbl>
              <c:idx val="0"/>
              <c:layout>
                <c:manualLayout>
                  <c:x val="0.23888879058657025"/>
                  <c:y val="0.16333432673505452"/>
                </c:manualLayout>
              </c:layout>
              <c:spPr>
                <a:solidFill>
                  <a:schemeClr val="accent1">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489-43E4-ABDB-7229914034CA}"/>
                </c:ext>
              </c:extLst>
            </c:dLbl>
            <c:spPr>
              <a:solidFill>
                <a:schemeClr val="accent1">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zmienne!$K$18</c:f>
              <c:numCache>
                <c:formatCode>0.00%</c:formatCode>
                <c:ptCount val="1"/>
                <c:pt idx="0">
                  <c:v>0</c:v>
                </c:pt>
              </c:numCache>
            </c:numRef>
          </c:val>
          <c:extLst>
            <c:ext xmlns:c16="http://schemas.microsoft.com/office/drawing/2014/chart" uri="{C3380CC4-5D6E-409C-BE32-E72D297353CC}">
              <c16:uniqueId val="{0000000F-8489-43E4-ABDB-7229914034CA}"/>
            </c:ext>
          </c:extLst>
        </c:ser>
        <c:ser>
          <c:idx val="8"/>
          <c:order val="8"/>
          <c:tx>
            <c:strRef>
              <c:f>zmienne!$H$19</c:f>
              <c:strCache>
                <c:ptCount val="1"/>
                <c:pt idx="0">
                  <c:v>wypadkowe</c:v>
                </c:pt>
              </c:strCache>
            </c:strRef>
          </c:tx>
          <c:spPr>
            <a:solidFill>
              <a:schemeClr val="accent3">
                <a:lumMod val="40000"/>
                <a:lumOff val="60000"/>
              </a:schemeClr>
            </a:solidFill>
          </c:spPr>
          <c:invertIfNegative val="0"/>
          <c:dLbls>
            <c:dLbl>
              <c:idx val="0"/>
              <c:layout>
                <c:manualLayout>
                  <c:x val="0.23888879058657025"/>
                  <c:y val="0.11515878742248853"/>
                </c:manualLayout>
              </c:layout>
              <c:spPr>
                <a:solidFill>
                  <a:schemeClr val="accent3">
                    <a:lumMod val="40000"/>
                    <a:lumOff val="6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489-43E4-ABDB-7229914034CA}"/>
                </c:ext>
              </c:extLst>
            </c:dLbl>
            <c:spPr>
              <a:solidFill>
                <a:schemeClr val="accent3">
                  <a:lumMod val="40000"/>
                  <a:lumOff val="6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zmienne!$K$19</c:f>
              <c:numCache>
                <c:formatCode>0.00%</c:formatCode>
                <c:ptCount val="1"/>
                <c:pt idx="0">
                  <c:v>0</c:v>
                </c:pt>
              </c:numCache>
            </c:numRef>
          </c:val>
          <c:extLst>
            <c:ext xmlns:c16="http://schemas.microsoft.com/office/drawing/2014/chart" uri="{C3380CC4-5D6E-409C-BE32-E72D297353CC}">
              <c16:uniqueId val="{00000011-8489-43E4-ABDB-7229914034CA}"/>
            </c:ext>
          </c:extLst>
        </c:ser>
        <c:ser>
          <c:idx val="9"/>
          <c:order val="9"/>
          <c:tx>
            <c:strRef>
              <c:f>zmienne!$H$20</c:f>
              <c:strCache>
                <c:ptCount val="1"/>
                <c:pt idx="0">
                  <c:v>fundusz pracy</c:v>
                </c:pt>
              </c:strCache>
            </c:strRef>
          </c:tx>
          <c:spPr>
            <a:solidFill>
              <a:schemeClr val="accent4">
                <a:lumMod val="60000"/>
                <a:lumOff val="40000"/>
              </a:schemeClr>
            </a:solidFill>
          </c:spPr>
          <c:invertIfNegative val="0"/>
          <c:dLbls>
            <c:dLbl>
              <c:idx val="0"/>
              <c:layout>
                <c:manualLayout>
                  <c:x val="0.23888879058657025"/>
                  <c:y val="5.7361106754086032E-2"/>
                </c:manualLayout>
              </c:layout>
              <c:spPr>
                <a:solidFill>
                  <a:schemeClr val="accent4">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489-43E4-ABDB-7229914034CA}"/>
                </c:ext>
              </c:extLst>
            </c:dLbl>
            <c:spPr>
              <a:solidFill>
                <a:schemeClr val="accent4">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zmienne!$K$20</c:f>
              <c:numCache>
                <c:formatCode>0.00%</c:formatCode>
                <c:ptCount val="1"/>
                <c:pt idx="0">
                  <c:v>0</c:v>
                </c:pt>
              </c:numCache>
            </c:numRef>
          </c:val>
          <c:extLst>
            <c:ext xmlns:c16="http://schemas.microsoft.com/office/drawing/2014/chart" uri="{C3380CC4-5D6E-409C-BE32-E72D297353CC}">
              <c16:uniqueId val="{00000013-8489-43E4-ABDB-7229914034CA}"/>
            </c:ext>
          </c:extLst>
        </c:ser>
        <c:ser>
          <c:idx val="10"/>
          <c:order val="10"/>
          <c:tx>
            <c:strRef>
              <c:f>zmienne!$H$21</c:f>
              <c:strCache>
                <c:ptCount val="1"/>
                <c:pt idx="0">
                  <c:v>fundusz gwar.św.prac.</c:v>
                </c:pt>
              </c:strCache>
            </c:strRef>
          </c:tx>
          <c:spPr>
            <a:solidFill>
              <a:schemeClr val="accent5">
                <a:lumMod val="60000"/>
                <a:lumOff val="40000"/>
              </a:schemeClr>
            </a:solidFill>
          </c:spPr>
          <c:invertIfNegative val="0"/>
          <c:dLbls>
            <c:dLbl>
              <c:idx val="0"/>
              <c:layout>
                <c:manualLayout>
                  <c:x val="0.23695390604264371"/>
                  <c:y val="-7.941201074965247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489-43E4-ABDB-7229914034CA}"/>
                </c:ext>
              </c:extLst>
            </c:dLbl>
            <c:spPr>
              <a:solidFill>
                <a:schemeClr val="accent5">
                  <a:lumMod val="60000"/>
                  <a:lumOff val="40000"/>
                </a:schemeClr>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zmienne!$K$21</c:f>
              <c:numCache>
                <c:formatCode>0.00%</c:formatCode>
                <c:ptCount val="1"/>
                <c:pt idx="0">
                  <c:v>0</c:v>
                </c:pt>
              </c:numCache>
            </c:numRef>
          </c:val>
          <c:extLst>
            <c:ext xmlns:c16="http://schemas.microsoft.com/office/drawing/2014/chart" uri="{C3380CC4-5D6E-409C-BE32-E72D297353CC}">
              <c16:uniqueId val="{00000015-8489-43E4-ABDB-7229914034CA}"/>
            </c:ext>
          </c:extLst>
        </c:ser>
        <c:dLbls>
          <c:showLegendKey val="0"/>
          <c:showVal val="1"/>
          <c:showCatName val="0"/>
          <c:showSerName val="0"/>
          <c:showPercent val="0"/>
          <c:showBubbleSize val="0"/>
        </c:dLbls>
        <c:gapWidth val="55"/>
        <c:overlap val="100"/>
        <c:axId val="373520664"/>
        <c:axId val="373521840"/>
      </c:barChart>
      <c:catAx>
        <c:axId val="373520664"/>
        <c:scaling>
          <c:orientation val="minMax"/>
        </c:scaling>
        <c:delete val="0"/>
        <c:axPos val="b"/>
        <c:majorTickMark val="none"/>
        <c:minorTickMark val="none"/>
        <c:tickLblPos val="none"/>
        <c:crossAx val="373521840"/>
        <c:crosses val="autoZero"/>
        <c:auto val="1"/>
        <c:lblAlgn val="ctr"/>
        <c:lblOffset val="100"/>
        <c:noMultiLvlLbl val="0"/>
      </c:catAx>
      <c:valAx>
        <c:axId val="373521840"/>
        <c:scaling>
          <c:orientation val="minMax"/>
          <c:max val="1.8"/>
        </c:scaling>
        <c:delete val="0"/>
        <c:axPos val="l"/>
        <c:numFmt formatCode="0.00%" sourceLinked="1"/>
        <c:majorTickMark val="none"/>
        <c:minorTickMark val="none"/>
        <c:tickLblPos val="nextTo"/>
        <c:txPr>
          <a:bodyPr/>
          <a:lstStyle/>
          <a:p>
            <a:pPr>
              <a:defRPr>
                <a:latin typeface="+mj-lt"/>
              </a:defRPr>
            </a:pPr>
            <a:endParaRPr lang="pl-PL"/>
          </a:p>
        </c:txPr>
        <c:crossAx val="373520664"/>
        <c:crosses val="autoZero"/>
        <c:crossBetween val="between"/>
      </c:valAx>
    </c:plotArea>
    <c:legend>
      <c:legendPos val="r"/>
      <c:layout>
        <c:manualLayout>
          <c:xMode val="edge"/>
          <c:yMode val="edge"/>
          <c:x val="0.57429561473355306"/>
          <c:y val="0.15637424057052668"/>
          <c:w val="0.40324574596714735"/>
          <c:h val="0.82752879848352445"/>
        </c:manualLayout>
      </c:layout>
      <c:overlay val="0"/>
      <c:txPr>
        <a:bodyPr/>
        <a:lstStyle/>
        <a:p>
          <a:pPr>
            <a:defRPr sz="900">
              <a:latin typeface="+mj-lt"/>
            </a:defRPr>
          </a:pPr>
          <a:endParaRPr lang="pl-PL"/>
        </a:p>
      </c:txPr>
    </c:legend>
    <c:plotVisOnly val="1"/>
    <c:dispBlanksAs val="gap"/>
    <c:showDLblsOverMax val="0"/>
  </c:chart>
  <c:spPr>
    <a:noFill/>
    <a:ln>
      <a:noFill/>
    </a:ln>
  </c:sp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100"/>
            </a:pPr>
            <a:r>
              <a:rPr lang="pl-PL" sz="1100"/>
              <a:t>Rozkład rocznych kosztów pracy</a:t>
            </a:r>
          </a:p>
          <a:p>
            <a:pPr>
              <a:defRPr sz="1100"/>
            </a:pPr>
            <a:r>
              <a:rPr lang="pl-PL" sz="1100"/>
              <a:t>pracownika (100%=brutto)</a:t>
            </a:r>
          </a:p>
        </c:rich>
      </c:tx>
      <c:overlay val="0"/>
    </c:title>
    <c:autoTitleDeleted val="0"/>
    <c:plotArea>
      <c:layout>
        <c:manualLayout>
          <c:layoutTarget val="inner"/>
          <c:xMode val="edge"/>
          <c:yMode val="edge"/>
          <c:x val="0.14539194198663324"/>
          <c:y val="0.16587547950736944"/>
          <c:w val="0.27299915859799823"/>
          <c:h val="0.78563686149808265"/>
        </c:manualLayout>
      </c:layout>
      <c:barChart>
        <c:barDir val="col"/>
        <c:grouping val="stacked"/>
        <c:varyColors val="0"/>
        <c:ser>
          <c:idx val="0"/>
          <c:order val="0"/>
          <c:tx>
            <c:strRef>
              <c:f>zmienne!$H$2</c:f>
              <c:strCache>
                <c:ptCount val="1"/>
                <c:pt idx="0">
                  <c:v>netto</c:v>
                </c:pt>
              </c:strCache>
            </c:strRef>
          </c:tx>
          <c:spPr>
            <a:solidFill>
              <a:srgbClr val="33CC33"/>
            </a:solidFill>
          </c:spPr>
          <c:invertIfNegative val="0"/>
          <c:dLbls>
            <c:spPr>
              <a:noFill/>
              <a:ln>
                <a:noFill/>
              </a:ln>
              <a:effectLst/>
            </c:spPr>
            <c:txPr>
              <a:bodyPr/>
              <a:lstStyle/>
              <a:p>
                <a:pPr>
                  <a:defRPr sz="1200"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c:f>
              <c:numCache>
                <c:formatCode>0.00%</c:formatCode>
                <c:ptCount val="1"/>
                <c:pt idx="0">
                  <c:v>0</c:v>
                </c:pt>
              </c:numCache>
            </c:numRef>
          </c:val>
          <c:extLst>
            <c:ext xmlns:c16="http://schemas.microsoft.com/office/drawing/2014/chart" uri="{C3380CC4-5D6E-409C-BE32-E72D297353CC}">
              <c16:uniqueId val="{00000000-CE74-4DF9-86E9-CBC279D758A9}"/>
            </c:ext>
          </c:extLst>
        </c:ser>
        <c:ser>
          <c:idx val="1"/>
          <c:order val="1"/>
          <c:tx>
            <c:strRef>
              <c:f>zmienne!$H$3</c:f>
              <c:strCache>
                <c:ptCount val="1"/>
                <c:pt idx="0">
                  <c:v>ub. zdrowotne</c:v>
                </c:pt>
              </c:strCache>
            </c:strRef>
          </c:tx>
          <c:spPr>
            <a:solidFill>
              <a:srgbClr val="C00000"/>
            </a:solidFill>
          </c:spPr>
          <c:invertIfNegative val="0"/>
          <c:dLbls>
            <c:dLbl>
              <c:idx val="0"/>
              <c:layout>
                <c:manualLayout>
                  <c:x val="0.28350506724936964"/>
                  <c:y val="0.37719939710506539"/>
                </c:manualLayout>
              </c:layout>
              <c:spPr>
                <a:solidFill>
                  <a:srgbClr val="C00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zmienne!$J$3</c:f>
              <c:numCache>
                <c:formatCode>0.00%</c:formatCode>
                <c:ptCount val="1"/>
                <c:pt idx="0">
                  <c:v>0</c:v>
                </c:pt>
              </c:numCache>
            </c:numRef>
          </c:val>
          <c:extLst>
            <c:ext xmlns:c16="http://schemas.microsoft.com/office/drawing/2014/chart" uri="{C3380CC4-5D6E-409C-BE32-E72D297353CC}">
              <c16:uniqueId val="{00000002-CE74-4DF9-86E9-CBC279D758A9}"/>
            </c:ext>
          </c:extLst>
        </c:ser>
        <c:ser>
          <c:idx val="2"/>
          <c:order val="2"/>
          <c:tx>
            <c:strRef>
              <c:f>zmienne!$H$4</c:f>
              <c:strCache>
                <c:ptCount val="1"/>
                <c:pt idx="0">
                  <c:v>ub. chorobowe</c:v>
                </c:pt>
              </c:strCache>
            </c:strRef>
          </c:tx>
          <c:spPr>
            <a:solidFill>
              <a:srgbClr val="FF0000"/>
            </a:solidFill>
          </c:spPr>
          <c:invertIfNegative val="0"/>
          <c:dLbls>
            <c:dLbl>
              <c:idx val="0"/>
              <c:layout>
                <c:manualLayout>
                  <c:x val="0.28749230807871512"/>
                  <c:y val="0.29756139393467018"/>
                </c:manualLayout>
              </c:layout>
              <c:spPr>
                <a:solidFill>
                  <a:srgbClr val="FF0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zmienne!$J$4</c:f>
              <c:numCache>
                <c:formatCode>0.00%</c:formatCode>
                <c:ptCount val="1"/>
                <c:pt idx="0">
                  <c:v>0</c:v>
                </c:pt>
              </c:numCache>
            </c:numRef>
          </c:val>
          <c:extLst>
            <c:ext xmlns:c16="http://schemas.microsoft.com/office/drawing/2014/chart" uri="{C3380CC4-5D6E-409C-BE32-E72D297353CC}">
              <c16:uniqueId val="{00000004-CE74-4DF9-86E9-CBC279D758A9}"/>
            </c:ext>
          </c:extLst>
        </c:ser>
        <c:ser>
          <c:idx val="3"/>
          <c:order val="3"/>
          <c:tx>
            <c:strRef>
              <c:f>zmienne!$H$5</c:f>
              <c:strCache>
                <c:ptCount val="1"/>
                <c:pt idx="0">
                  <c:v>ub. rentowe</c:v>
                </c:pt>
              </c:strCache>
            </c:strRef>
          </c:tx>
          <c:spPr>
            <a:solidFill>
              <a:srgbClr val="FF6600"/>
            </a:solidFill>
          </c:spPr>
          <c:invertIfNegative val="0"/>
          <c:dLbls>
            <c:dLbl>
              <c:idx val="0"/>
              <c:layout>
                <c:manualLayout>
                  <c:x val="0.28749230807871512"/>
                  <c:y val="0.18302720823263421"/>
                </c:manualLayout>
              </c:layout>
              <c:spPr>
                <a:solidFill>
                  <a:srgbClr val="FF66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zmienne!$J$5</c:f>
              <c:numCache>
                <c:formatCode>0.00%</c:formatCode>
                <c:ptCount val="1"/>
                <c:pt idx="0">
                  <c:v>0</c:v>
                </c:pt>
              </c:numCache>
            </c:numRef>
          </c:val>
          <c:extLst>
            <c:ext xmlns:c16="http://schemas.microsoft.com/office/drawing/2014/chart" uri="{C3380CC4-5D6E-409C-BE32-E72D297353CC}">
              <c16:uniqueId val="{00000006-CE74-4DF9-86E9-CBC279D758A9}"/>
            </c:ext>
          </c:extLst>
        </c:ser>
        <c:ser>
          <c:idx val="4"/>
          <c:order val="4"/>
          <c:tx>
            <c:strRef>
              <c:f>zmienne!$H$6</c:f>
              <c:strCache>
                <c:ptCount val="1"/>
                <c:pt idx="0">
                  <c:v>ub. emerytalne</c:v>
                </c:pt>
              </c:strCache>
            </c:strRef>
          </c:tx>
          <c:spPr>
            <a:solidFill>
              <a:srgbClr val="FFC000"/>
            </a:solidFill>
          </c:spPr>
          <c:invertIfNegative val="0"/>
          <c:dLbls>
            <c:dLbl>
              <c:idx val="0"/>
              <c:layout>
                <c:manualLayout>
                  <c:x val="0.2806411608835977"/>
                  <c:y val="8.8999506249837726E-2"/>
                </c:manualLayout>
              </c:layout>
              <c:spPr>
                <a:solidFill>
                  <a:srgbClr val="FFC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zmienne!$J$6</c:f>
              <c:numCache>
                <c:formatCode>0.00%</c:formatCode>
                <c:ptCount val="1"/>
                <c:pt idx="0">
                  <c:v>0</c:v>
                </c:pt>
              </c:numCache>
            </c:numRef>
          </c:val>
          <c:extLst>
            <c:ext xmlns:c16="http://schemas.microsoft.com/office/drawing/2014/chart" uri="{C3380CC4-5D6E-409C-BE32-E72D297353CC}">
              <c16:uniqueId val="{00000008-CE74-4DF9-86E9-CBC279D758A9}"/>
            </c:ext>
          </c:extLst>
        </c:ser>
        <c:ser>
          <c:idx val="5"/>
          <c:order val="5"/>
          <c:tx>
            <c:strRef>
              <c:f>zmienne!$H$7</c:f>
              <c:strCache>
                <c:ptCount val="1"/>
                <c:pt idx="0">
                  <c:v>zaliczka na PIT</c:v>
                </c:pt>
              </c:strCache>
            </c:strRef>
          </c:tx>
          <c:spPr>
            <a:solidFill>
              <a:srgbClr val="FFFF00"/>
            </a:solidFill>
          </c:spPr>
          <c:invertIfNegative val="0"/>
          <c:dLbls>
            <c:dLbl>
              <c:idx val="0"/>
              <c:layout>
                <c:manualLayout>
                  <c:x val="0.27777756847379725"/>
                  <c:y val="3.8899976611834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74-4DF9-86E9-CBC279D758A9}"/>
                </c:ext>
              </c:extLst>
            </c:dLbl>
            <c:spPr>
              <a:solidFill>
                <a:srgbClr val="FFFF00"/>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zmienne!$J$7</c:f>
              <c:numCache>
                <c:formatCode>0.00%</c:formatCode>
                <c:ptCount val="1"/>
                <c:pt idx="0">
                  <c:v>0</c:v>
                </c:pt>
              </c:numCache>
            </c:numRef>
          </c:val>
          <c:extLst>
            <c:ext xmlns:c16="http://schemas.microsoft.com/office/drawing/2014/chart" uri="{C3380CC4-5D6E-409C-BE32-E72D297353CC}">
              <c16:uniqueId val="{0000000A-CE74-4DF9-86E9-CBC279D758A9}"/>
            </c:ext>
          </c:extLst>
        </c:ser>
        <c:dLbls>
          <c:showLegendKey val="0"/>
          <c:showVal val="1"/>
          <c:showCatName val="0"/>
          <c:showSerName val="0"/>
          <c:showPercent val="0"/>
          <c:showBubbleSize val="0"/>
        </c:dLbls>
        <c:gapWidth val="55"/>
        <c:overlap val="100"/>
        <c:axId val="454914568"/>
        <c:axId val="454915352"/>
      </c:barChart>
      <c:catAx>
        <c:axId val="454914568"/>
        <c:scaling>
          <c:orientation val="minMax"/>
        </c:scaling>
        <c:delete val="1"/>
        <c:axPos val="b"/>
        <c:majorTickMark val="none"/>
        <c:minorTickMark val="none"/>
        <c:tickLblPos val="none"/>
        <c:crossAx val="454915352"/>
        <c:crosses val="autoZero"/>
        <c:auto val="1"/>
        <c:lblAlgn val="ctr"/>
        <c:lblOffset val="100"/>
        <c:noMultiLvlLbl val="0"/>
      </c:catAx>
      <c:valAx>
        <c:axId val="454915352"/>
        <c:scaling>
          <c:orientation val="minMax"/>
          <c:max val="1"/>
        </c:scaling>
        <c:delete val="0"/>
        <c:axPos val="l"/>
        <c:numFmt formatCode="0.00%" sourceLinked="1"/>
        <c:majorTickMark val="none"/>
        <c:minorTickMark val="none"/>
        <c:tickLblPos val="nextTo"/>
        <c:crossAx val="454914568"/>
        <c:crosses val="autoZero"/>
        <c:crossBetween val="between"/>
      </c:valAx>
    </c:plotArea>
    <c:legend>
      <c:legendPos val="r"/>
      <c:layout>
        <c:manualLayout>
          <c:xMode val="edge"/>
          <c:yMode val="edge"/>
          <c:x val="0.68910541385676072"/>
          <c:y val="0.19155315893570177"/>
          <c:w val="0.29371240377249558"/>
          <c:h val="0.76815750519336745"/>
        </c:manualLayout>
      </c:layout>
      <c:overlay val="0"/>
      <c:txPr>
        <a:bodyPr/>
        <a:lstStyle/>
        <a:p>
          <a:pPr>
            <a:defRPr sz="900"/>
          </a:pPr>
          <a:endParaRPr lang="pl-PL"/>
        </a:p>
      </c:txPr>
    </c:legend>
    <c:plotVisOnly val="1"/>
    <c:dispBlanksAs val="gap"/>
    <c:showDLblsOverMax val="0"/>
  </c:chart>
  <c:spPr>
    <a:ln>
      <a:noFill/>
    </a:ln>
  </c:spPr>
  <c:txPr>
    <a:bodyPr/>
    <a:lstStyle/>
    <a:p>
      <a:pPr>
        <a:defRPr>
          <a:latin typeface="+mj-lt"/>
        </a:defRPr>
      </a:pPr>
      <a:endParaRPr lang="pl-PL"/>
    </a:p>
  </c:tx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mj-lt"/>
              </a:defRPr>
            </a:pPr>
            <a:r>
              <a:rPr lang="pl-PL" sz="1100">
                <a:latin typeface="+mj-lt"/>
              </a:rPr>
              <a:t>Rozkład rocznych kosztów pracy pracownika (100%=całkowity koszt płacowy pracownika)</a:t>
            </a:r>
          </a:p>
        </c:rich>
      </c:tx>
      <c:overlay val="0"/>
    </c:title>
    <c:autoTitleDeleted val="0"/>
    <c:plotArea>
      <c:layout>
        <c:manualLayout>
          <c:layoutTarget val="inner"/>
          <c:xMode val="edge"/>
          <c:yMode val="edge"/>
          <c:x val="0.14103018372703452"/>
          <c:y val="0.16401898965816541"/>
          <c:w val="0.27050504213289128"/>
          <c:h val="0.79912005521222196"/>
        </c:manualLayout>
      </c:layout>
      <c:barChart>
        <c:barDir val="col"/>
        <c:grouping val="stacked"/>
        <c:varyColors val="0"/>
        <c:ser>
          <c:idx val="0"/>
          <c:order val="0"/>
          <c:tx>
            <c:strRef>
              <c:f>zmienne!$H$11</c:f>
              <c:strCache>
                <c:ptCount val="1"/>
                <c:pt idx="0">
                  <c:v>netto</c:v>
                </c:pt>
              </c:strCache>
            </c:strRef>
          </c:tx>
          <c:spPr>
            <a:solidFill>
              <a:srgbClr val="33CC33"/>
            </a:solidFill>
          </c:spPr>
          <c:invertIfNegative val="0"/>
          <c:dLbls>
            <c:dLbl>
              <c:idx val="0"/>
              <c:layout>
                <c:manualLayout>
                  <c:x val="0"/>
                  <c:y val="-3.60950714494022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D0-41F5-813E-5D3031D4770C}"/>
                </c:ext>
              </c:extLst>
            </c:dLbl>
            <c:spPr>
              <a:noFill/>
              <a:ln>
                <a:noFill/>
              </a:ln>
              <a:effectLst/>
            </c:spPr>
            <c:txPr>
              <a:bodyPr/>
              <a:lstStyle/>
              <a:p>
                <a:pPr>
                  <a:defRPr sz="1200" b="1">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zmienne!$J$11</c:f>
              <c:numCache>
                <c:formatCode>0.00%</c:formatCode>
                <c:ptCount val="1"/>
                <c:pt idx="0">
                  <c:v>0</c:v>
                </c:pt>
              </c:numCache>
            </c:numRef>
          </c:val>
          <c:extLst>
            <c:ext xmlns:c16="http://schemas.microsoft.com/office/drawing/2014/chart" uri="{C3380CC4-5D6E-409C-BE32-E72D297353CC}">
              <c16:uniqueId val="{00000001-0FD0-41F5-813E-5D3031D4770C}"/>
            </c:ext>
          </c:extLst>
        </c:ser>
        <c:ser>
          <c:idx val="1"/>
          <c:order val="1"/>
          <c:tx>
            <c:strRef>
              <c:f>zmienne!$H$12</c:f>
              <c:strCache>
                <c:ptCount val="1"/>
                <c:pt idx="0">
                  <c:v>ub. zdrowotne</c:v>
                </c:pt>
              </c:strCache>
            </c:strRef>
          </c:tx>
          <c:spPr>
            <a:solidFill>
              <a:srgbClr val="C00000"/>
            </a:solidFill>
          </c:spPr>
          <c:invertIfNegative val="0"/>
          <c:dLbls>
            <c:dLbl>
              <c:idx val="0"/>
              <c:layout>
                <c:manualLayout>
                  <c:x val="0.23611111111111124"/>
                  <c:y val="0.4132657884589071"/>
                </c:manualLayout>
              </c:layout>
              <c:spPr>
                <a:solidFill>
                  <a:srgbClr val="C00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D0-41F5-813E-5D3031D4770C}"/>
                </c:ext>
              </c:extLst>
            </c:dLbl>
            <c:spPr>
              <a:solidFill>
                <a:srgbClr val="C00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zmienne!$J$12</c:f>
              <c:numCache>
                <c:formatCode>0.00%</c:formatCode>
                <c:ptCount val="1"/>
                <c:pt idx="0">
                  <c:v>0</c:v>
                </c:pt>
              </c:numCache>
            </c:numRef>
          </c:val>
          <c:extLst>
            <c:ext xmlns:c16="http://schemas.microsoft.com/office/drawing/2014/chart" uri="{C3380CC4-5D6E-409C-BE32-E72D297353CC}">
              <c16:uniqueId val="{00000003-0FD0-41F5-813E-5D3031D4770C}"/>
            </c:ext>
          </c:extLst>
        </c:ser>
        <c:ser>
          <c:idx val="2"/>
          <c:order val="2"/>
          <c:tx>
            <c:strRef>
              <c:f>zmienne!$H$13</c:f>
              <c:strCache>
                <c:ptCount val="1"/>
                <c:pt idx="0">
                  <c:v>ub. chorobowe</c:v>
                </c:pt>
              </c:strCache>
            </c:strRef>
          </c:tx>
          <c:spPr>
            <a:solidFill>
              <a:srgbClr val="FF0000"/>
            </a:solidFill>
          </c:spPr>
          <c:invertIfNegative val="0"/>
          <c:dLbls>
            <c:dLbl>
              <c:idx val="0"/>
              <c:layout>
                <c:manualLayout>
                  <c:x val="0.2388888888888889"/>
                  <c:y val="0.376810082504628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D0-41F5-813E-5D3031D4770C}"/>
                </c:ext>
              </c:extLst>
            </c:dLbl>
            <c:spPr>
              <a:solidFill>
                <a:srgbClr val="FF0000"/>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zmienne!$J$13</c:f>
              <c:numCache>
                <c:formatCode>0.00%</c:formatCode>
                <c:ptCount val="1"/>
                <c:pt idx="0">
                  <c:v>0</c:v>
                </c:pt>
              </c:numCache>
            </c:numRef>
          </c:val>
          <c:extLst>
            <c:ext xmlns:c16="http://schemas.microsoft.com/office/drawing/2014/chart" uri="{C3380CC4-5D6E-409C-BE32-E72D297353CC}">
              <c16:uniqueId val="{00000005-0FD0-41F5-813E-5D3031D4770C}"/>
            </c:ext>
          </c:extLst>
        </c:ser>
        <c:ser>
          <c:idx val="3"/>
          <c:order val="3"/>
          <c:tx>
            <c:strRef>
              <c:f>zmienne!$H$14</c:f>
              <c:strCache>
                <c:ptCount val="1"/>
                <c:pt idx="0">
                  <c:v>ub. rentowe</c:v>
                </c:pt>
              </c:strCache>
            </c:strRef>
          </c:tx>
          <c:spPr>
            <a:solidFill>
              <a:srgbClr val="FF6600"/>
            </a:solidFill>
          </c:spPr>
          <c:invertIfNegative val="0"/>
          <c:dLbls>
            <c:dLbl>
              <c:idx val="0"/>
              <c:layout>
                <c:manualLayout>
                  <c:x val="0.2388888888888889"/>
                  <c:y val="0.3142294339701569"/>
                </c:manualLayout>
              </c:layout>
              <c:spPr>
                <a:solidFill>
                  <a:srgbClr val="FF66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D0-41F5-813E-5D3031D4770C}"/>
                </c:ext>
              </c:extLst>
            </c:dLbl>
            <c:spPr>
              <a:solidFill>
                <a:srgbClr val="FF66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zmienne!$J$14</c:f>
              <c:numCache>
                <c:formatCode>0.00%</c:formatCode>
                <c:ptCount val="1"/>
                <c:pt idx="0">
                  <c:v>0</c:v>
                </c:pt>
              </c:numCache>
            </c:numRef>
          </c:val>
          <c:extLst>
            <c:ext xmlns:c16="http://schemas.microsoft.com/office/drawing/2014/chart" uri="{C3380CC4-5D6E-409C-BE32-E72D297353CC}">
              <c16:uniqueId val="{00000007-0FD0-41F5-813E-5D3031D4770C}"/>
            </c:ext>
          </c:extLst>
        </c:ser>
        <c:ser>
          <c:idx val="4"/>
          <c:order val="4"/>
          <c:tx>
            <c:strRef>
              <c:f>zmienne!$H$15</c:f>
              <c:strCache>
                <c:ptCount val="1"/>
                <c:pt idx="0">
                  <c:v>ub. emerytalne</c:v>
                </c:pt>
              </c:strCache>
            </c:strRef>
          </c:tx>
          <c:spPr>
            <a:solidFill>
              <a:srgbClr val="FFC000"/>
            </a:solidFill>
          </c:spPr>
          <c:invertIfNegative val="0"/>
          <c:dLbls>
            <c:dLbl>
              <c:idx val="0"/>
              <c:layout>
                <c:manualLayout>
                  <c:x val="0.2388888888888889"/>
                  <c:y val="0.27040055003084845"/>
                </c:manualLayout>
              </c:layout>
              <c:spPr>
                <a:solidFill>
                  <a:srgbClr val="FFC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D0-41F5-813E-5D3031D4770C}"/>
                </c:ext>
              </c:extLst>
            </c:dLbl>
            <c:spPr>
              <a:solidFill>
                <a:srgbClr val="FFC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zmienne!$J$15</c:f>
              <c:numCache>
                <c:formatCode>0.00%</c:formatCode>
                <c:ptCount val="1"/>
                <c:pt idx="0">
                  <c:v>0</c:v>
                </c:pt>
              </c:numCache>
            </c:numRef>
          </c:val>
          <c:extLst>
            <c:ext xmlns:c16="http://schemas.microsoft.com/office/drawing/2014/chart" uri="{C3380CC4-5D6E-409C-BE32-E72D297353CC}">
              <c16:uniqueId val="{00000009-0FD0-41F5-813E-5D3031D4770C}"/>
            </c:ext>
          </c:extLst>
        </c:ser>
        <c:ser>
          <c:idx val="5"/>
          <c:order val="5"/>
          <c:tx>
            <c:strRef>
              <c:f>zmienne!$H$16</c:f>
              <c:strCache>
                <c:ptCount val="1"/>
                <c:pt idx="0">
                  <c:v>zaliczka na PIT</c:v>
                </c:pt>
              </c:strCache>
            </c:strRef>
          </c:tx>
          <c:spPr>
            <a:solidFill>
              <a:srgbClr val="FFFF00"/>
            </a:solidFill>
          </c:spPr>
          <c:invertIfNegative val="0"/>
          <c:dLbls>
            <c:dLbl>
              <c:idx val="0"/>
              <c:layout>
                <c:manualLayout>
                  <c:x val="0.23514347223450988"/>
                  <c:y val="0.25048101557026486"/>
                </c:manualLayout>
              </c:layout>
              <c:spPr>
                <a:solidFill>
                  <a:srgbClr val="FFFF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D0-41F5-813E-5D3031D4770C}"/>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zmienne!$J$16</c:f>
              <c:numCache>
                <c:formatCode>0.00%</c:formatCode>
                <c:ptCount val="1"/>
                <c:pt idx="0">
                  <c:v>0</c:v>
                </c:pt>
              </c:numCache>
            </c:numRef>
          </c:val>
          <c:extLst>
            <c:ext xmlns:c16="http://schemas.microsoft.com/office/drawing/2014/chart" uri="{C3380CC4-5D6E-409C-BE32-E72D297353CC}">
              <c16:uniqueId val="{0000000B-0FD0-41F5-813E-5D3031D4770C}"/>
            </c:ext>
          </c:extLst>
        </c:ser>
        <c:ser>
          <c:idx val="6"/>
          <c:order val="6"/>
          <c:tx>
            <c:strRef>
              <c:f>zmienne!$H$17</c:f>
              <c:strCache>
                <c:ptCount val="1"/>
                <c:pt idx="0">
                  <c:v>ub. emerytalne </c:v>
                </c:pt>
              </c:strCache>
            </c:strRef>
          </c:tx>
          <c:spPr>
            <a:solidFill>
              <a:schemeClr val="accent2">
                <a:lumMod val="75000"/>
              </a:schemeClr>
            </a:solidFill>
          </c:spPr>
          <c:invertIfNegative val="0"/>
          <c:dLbls>
            <c:dLbl>
              <c:idx val="0"/>
              <c:layout>
                <c:manualLayout>
                  <c:x val="0.2388888888888889"/>
                  <c:y val="0.25649109598351999"/>
                </c:manualLayout>
              </c:layout>
              <c:spPr>
                <a:solidFill>
                  <a:schemeClr val="accent2">
                    <a:lumMod val="75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D0-41F5-813E-5D3031D4770C}"/>
                </c:ext>
              </c:extLst>
            </c:dLbl>
            <c:spPr>
              <a:solidFill>
                <a:schemeClr val="accent2">
                  <a:lumMod val="75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zmienne!$J$17</c:f>
              <c:numCache>
                <c:formatCode>0.00%</c:formatCode>
                <c:ptCount val="1"/>
                <c:pt idx="0">
                  <c:v>0</c:v>
                </c:pt>
              </c:numCache>
            </c:numRef>
          </c:val>
          <c:extLst>
            <c:ext xmlns:c16="http://schemas.microsoft.com/office/drawing/2014/chart" uri="{C3380CC4-5D6E-409C-BE32-E72D297353CC}">
              <c16:uniqueId val="{0000000D-0FD0-41F5-813E-5D3031D4770C}"/>
            </c:ext>
          </c:extLst>
        </c:ser>
        <c:ser>
          <c:idx val="7"/>
          <c:order val="7"/>
          <c:tx>
            <c:strRef>
              <c:f>zmienne!$H$18</c:f>
              <c:strCache>
                <c:ptCount val="1"/>
                <c:pt idx="0">
                  <c:v>ub. rentowe</c:v>
                </c:pt>
              </c:strCache>
            </c:strRef>
          </c:tx>
          <c:spPr>
            <a:solidFill>
              <a:schemeClr val="accent1">
                <a:lumMod val="60000"/>
                <a:lumOff val="40000"/>
              </a:schemeClr>
            </a:solidFill>
          </c:spPr>
          <c:invertIfNegative val="0"/>
          <c:dLbls>
            <c:dLbl>
              <c:idx val="0"/>
              <c:layout>
                <c:manualLayout>
                  <c:x val="0.2388888888888889"/>
                  <c:y val="0.20649501730610406"/>
                </c:manualLayout>
              </c:layout>
              <c:spPr>
                <a:solidFill>
                  <a:schemeClr val="accent1">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D0-41F5-813E-5D3031D4770C}"/>
                </c:ext>
              </c:extLst>
            </c:dLbl>
            <c:spPr>
              <a:solidFill>
                <a:schemeClr val="accent1">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zmienne!$J$18</c:f>
              <c:numCache>
                <c:formatCode>0.00%</c:formatCode>
                <c:ptCount val="1"/>
                <c:pt idx="0">
                  <c:v>0</c:v>
                </c:pt>
              </c:numCache>
            </c:numRef>
          </c:val>
          <c:extLst>
            <c:ext xmlns:c16="http://schemas.microsoft.com/office/drawing/2014/chart" uri="{C3380CC4-5D6E-409C-BE32-E72D297353CC}">
              <c16:uniqueId val="{0000000F-0FD0-41F5-813E-5D3031D4770C}"/>
            </c:ext>
          </c:extLst>
        </c:ser>
        <c:ser>
          <c:idx val="8"/>
          <c:order val="8"/>
          <c:tx>
            <c:strRef>
              <c:f>zmienne!$H$19</c:f>
              <c:strCache>
                <c:ptCount val="1"/>
                <c:pt idx="0">
                  <c:v>wypadkowe</c:v>
                </c:pt>
              </c:strCache>
            </c:strRef>
          </c:tx>
          <c:spPr>
            <a:solidFill>
              <a:schemeClr val="accent3">
                <a:lumMod val="40000"/>
                <a:lumOff val="60000"/>
              </a:schemeClr>
            </a:solidFill>
          </c:spPr>
          <c:invertIfNegative val="0"/>
          <c:dLbls>
            <c:dLbl>
              <c:idx val="0"/>
              <c:layout>
                <c:manualLayout>
                  <c:x val="0.2388888888888889"/>
                  <c:y val="0.15499942487268842"/>
                </c:manualLayout>
              </c:layout>
              <c:spPr>
                <a:solidFill>
                  <a:schemeClr val="accent3">
                    <a:lumMod val="40000"/>
                    <a:lumOff val="6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D0-41F5-813E-5D3031D4770C}"/>
                </c:ext>
              </c:extLst>
            </c:dLbl>
            <c:spPr>
              <a:solidFill>
                <a:schemeClr val="accent3">
                  <a:lumMod val="40000"/>
                  <a:lumOff val="6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zmienne!$J$19</c:f>
              <c:numCache>
                <c:formatCode>0.00%</c:formatCode>
                <c:ptCount val="1"/>
                <c:pt idx="0">
                  <c:v>0</c:v>
                </c:pt>
              </c:numCache>
            </c:numRef>
          </c:val>
          <c:extLst>
            <c:ext xmlns:c16="http://schemas.microsoft.com/office/drawing/2014/chart" uri="{C3380CC4-5D6E-409C-BE32-E72D297353CC}">
              <c16:uniqueId val="{00000011-0FD0-41F5-813E-5D3031D4770C}"/>
            </c:ext>
          </c:extLst>
        </c:ser>
        <c:ser>
          <c:idx val="9"/>
          <c:order val="9"/>
          <c:tx>
            <c:strRef>
              <c:f>zmienne!$H$20</c:f>
              <c:strCache>
                <c:ptCount val="1"/>
                <c:pt idx="0">
                  <c:v>fundusz pracy</c:v>
                </c:pt>
              </c:strCache>
            </c:strRef>
          </c:tx>
          <c:spPr>
            <a:solidFill>
              <a:schemeClr val="accent4">
                <a:lumMod val="60000"/>
                <a:lumOff val="40000"/>
              </a:schemeClr>
            </a:solidFill>
          </c:spPr>
          <c:invertIfNegative val="0"/>
          <c:dLbls>
            <c:dLbl>
              <c:idx val="0"/>
              <c:layout>
                <c:manualLayout>
                  <c:x val="0.2388888888888889"/>
                  <c:y val="9.0561637962585373E-2"/>
                </c:manualLayout>
              </c:layout>
              <c:spPr>
                <a:solidFill>
                  <a:schemeClr val="accent4">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D0-41F5-813E-5D3031D4770C}"/>
                </c:ext>
              </c:extLst>
            </c:dLbl>
            <c:spPr>
              <a:solidFill>
                <a:schemeClr val="accent4">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zmienne!$J$20</c:f>
              <c:numCache>
                <c:formatCode>0.00%</c:formatCode>
                <c:ptCount val="1"/>
                <c:pt idx="0">
                  <c:v>0</c:v>
                </c:pt>
              </c:numCache>
            </c:numRef>
          </c:val>
          <c:extLst>
            <c:ext xmlns:c16="http://schemas.microsoft.com/office/drawing/2014/chart" uri="{C3380CC4-5D6E-409C-BE32-E72D297353CC}">
              <c16:uniqueId val="{00000013-0FD0-41F5-813E-5D3031D4770C}"/>
            </c:ext>
          </c:extLst>
        </c:ser>
        <c:ser>
          <c:idx val="10"/>
          <c:order val="10"/>
          <c:tx>
            <c:strRef>
              <c:f>zmienne!$H$21</c:f>
              <c:strCache>
                <c:ptCount val="1"/>
                <c:pt idx="0">
                  <c:v>fundusz gwar.św.prac.</c:v>
                </c:pt>
              </c:strCache>
            </c:strRef>
          </c:tx>
          <c:spPr>
            <a:solidFill>
              <a:schemeClr val="accent5">
                <a:lumMod val="60000"/>
                <a:lumOff val="40000"/>
              </a:schemeClr>
            </a:solidFill>
          </c:spPr>
          <c:invertIfNegative val="0"/>
          <c:dLbls>
            <c:dLbl>
              <c:idx val="0"/>
              <c:layout>
                <c:manualLayout>
                  <c:x val="0.23695390604264371"/>
                  <c:y val="2.52593301335341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FD0-41F5-813E-5D3031D4770C}"/>
                </c:ext>
              </c:extLst>
            </c:dLbl>
            <c:spPr>
              <a:solidFill>
                <a:schemeClr val="accent5">
                  <a:lumMod val="60000"/>
                  <a:lumOff val="40000"/>
                </a:schemeClr>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zmienne!$J$21</c:f>
              <c:numCache>
                <c:formatCode>0.00%</c:formatCode>
                <c:ptCount val="1"/>
                <c:pt idx="0">
                  <c:v>0</c:v>
                </c:pt>
              </c:numCache>
            </c:numRef>
          </c:val>
          <c:extLst>
            <c:ext xmlns:c16="http://schemas.microsoft.com/office/drawing/2014/chart" uri="{C3380CC4-5D6E-409C-BE32-E72D297353CC}">
              <c16:uniqueId val="{00000015-0FD0-41F5-813E-5D3031D4770C}"/>
            </c:ext>
          </c:extLst>
        </c:ser>
        <c:dLbls>
          <c:showLegendKey val="0"/>
          <c:showVal val="1"/>
          <c:showCatName val="0"/>
          <c:showSerName val="0"/>
          <c:showPercent val="0"/>
          <c:showBubbleSize val="0"/>
        </c:dLbls>
        <c:gapWidth val="55"/>
        <c:overlap val="100"/>
        <c:axId val="454916920"/>
        <c:axId val="454916136"/>
      </c:barChart>
      <c:catAx>
        <c:axId val="454916920"/>
        <c:scaling>
          <c:orientation val="minMax"/>
        </c:scaling>
        <c:delete val="0"/>
        <c:axPos val="b"/>
        <c:majorTickMark val="none"/>
        <c:minorTickMark val="none"/>
        <c:tickLblPos val="none"/>
        <c:crossAx val="454916136"/>
        <c:crosses val="autoZero"/>
        <c:auto val="1"/>
        <c:lblAlgn val="ctr"/>
        <c:lblOffset val="100"/>
        <c:noMultiLvlLbl val="0"/>
      </c:catAx>
      <c:valAx>
        <c:axId val="454916136"/>
        <c:scaling>
          <c:orientation val="minMax"/>
          <c:max val="1"/>
        </c:scaling>
        <c:delete val="0"/>
        <c:axPos val="l"/>
        <c:numFmt formatCode="0.00%" sourceLinked="1"/>
        <c:majorTickMark val="none"/>
        <c:minorTickMark val="none"/>
        <c:tickLblPos val="nextTo"/>
        <c:txPr>
          <a:bodyPr/>
          <a:lstStyle/>
          <a:p>
            <a:pPr>
              <a:defRPr>
                <a:latin typeface="+mj-lt"/>
              </a:defRPr>
            </a:pPr>
            <a:endParaRPr lang="pl-PL"/>
          </a:p>
        </c:txPr>
        <c:crossAx val="454916920"/>
        <c:crosses val="autoZero"/>
        <c:crossBetween val="between"/>
      </c:valAx>
    </c:plotArea>
    <c:legend>
      <c:legendPos val="r"/>
      <c:layout>
        <c:manualLayout>
          <c:xMode val="edge"/>
          <c:yMode val="edge"/>
          <c:x val="0.57429561473355295"/>
          <c:y val="0.15637424057052662"/>
          <c:w val="0.40324574596714735"/>
          <c:h val="0.82752879848352434"/>
        </c:manualLayout>
      </c:layout>
      <c:overlay val="0"/>
      <c:txPr>
        <a:bodyPr/>
        <a:lstStyle/>
        <a:p>
          <a:pPr>
            <a:defRPr sz="900">
              <a:latin typeface="+mj-lt"/>
            </a:defRPr>
          </a:pPr>
          <a:endParaRPr lang="pl-PL"/>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mj-lt"/>
              </a:defRPr>
            </a:pPr>
            <a:r>
              <a:rPr lang="pl-PL" sz="1100">
                <a:latin typeface="+mj-lt"/>
              </a:rPr>
              <a:t>Rozkład rocznych kosztów pracy pracownika (100%=netto)</a:t>
            </a:r>
          </a:p>
        </c:rich>
      </c:tx>
      <c:overlay val="0"/>
    </c:title>
    <c:autoTitleDeleted val="0"/>
    <c:plotArea>
      <c:layout>
        <c:manualLayout>
          <c:layoutTarget val="inner"/>
          <c:xMode val="edge"/>
          <c:yMode val="edge"/>
          <c:x val="0.14103018372703457"/>
          <c:y val="0.16401898965816541"/>
          <c:w val="0.27050504213289128"/>
          <c:h val="0.79912005521222196"/>
        </c:manualLayout>
      </c:layout>
      <c:barChart>
        <c:barDir val="col"/>
        <c:grouping val="stacked"/>
        <c:varyColors val="0"/>
        <c:ser>
          <c:idx val="0"/>
          <c:order val="0"/>
          <c:tx>
            <c:strRef>
              <c:f>zmienne!$H$11</c:f>
              <c:strCache>
                <c:ptCount val="1"/>
                <c:pt idx="0">
                  <c:v>netto</c:v>
                </c:pt>
              </c:strCache>
            </c:strRef>
          </c:tx>
          <c:spPr>
            <a:solidFill>
              <a:srgbClr val="33CC33"/>
            </a:solidFill>
          </c:spPr>
          <c:invertIfNegative val="0"/>
          <c:dLbls>
            <c:dLbl>
              <c:idx val="0"/>
              <c:layout>
                <c:manualLayout>
                  <c:x val="0"/>
                  <c:y val="-3.6095071449402202E-2"/>
                </c:manualLayout>
              </c:layout>
              <c:numFmt formatCode="0%" sourceLinked="0"/>
              <c:spPr/>
              <c:txPr>
                <a:bodyPr/>
                <a:lstStyle/>
                <a:p>
                  <a:pPr>
                    <a:defRPr sz="1200" b="1">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40-4DA6-B8D5-8A0A07A5172F}"/>
                </c:ext>
              </c:extLst>
            </c:dLbl>
            <c:spPr>
              <a:noFill/>
              <a:ln>
                <a:noFill/>
              </a:ln>
              <a:effectLst/>
            </c:spPr>
            <c:txPr>
              <a:bodyPr/>
              <a:lstStyle/>
              <a:p>
                <a:pPr>
                  <a:defRPr sz="1200" b="1">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zmienne!$K$11</c:f>
              <c:numCache>
                <c:formatCode>0.00%</c:formatCode>
                <c:ptCount val="1"/>
                <c:pt idx="0">
                  <c:v>1</c:v>
                </c:pt>
              </c:numCache>
            </c:numRef>
          </c:val>
          <c:extLst>
            <c:ext xmlns:c16="http://schemas.microsoft.com/office/drawing/2014/chart" uri="{C3380CC4-5D6E-409C-BE32-E72D297353CC}">
              <c16:uniqueId val="{00000001-9040-4DA6-B8D5-8A0A07A5172F}"/>
            </c:ext>
          </c:extLst>
        </c:ser>
        <c:ser>
          <c:idx val="1"/>
          <c:order val="1"/>
          <c:tx>
            <c:strRef>
              <c:f>zmienne!$H$12</c:f>
              <c:strCache>
                <c:ptCount val="1"/>
                <c:pt idx="0">
                  <c:v>ub. zdrowotne</c:v>
                </c:pt>
              </c:strCache>
            </c:strRef>
          </c:tx>
          <c:spPr>
            <a:solidFill>
              <a:srgbClr val="C00000"/>
            </a:solidFill>
          </c:spPr>
          <c:invertIfNegative val="0"/>
          <c:dLbls>
            <c:dLbl>
              <c:idx val="0"/>
              <c:layout>
                <c:manualLayout>
                  <c:x val="0.23611106195995163"/>
                  <c:y val="0.38006530309209435"/>
                </c:manualLayout>
              </c:layout>
              <c:spPr>
                <a:solidFill>
                  <a:srgbClr val="C00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40-4DA6-B8D5-8A0A07A5172F}"/>
                </c:ext>
              </c:extLst>
            </c:dLbl>
            <c:spPr>
              <a:solidFill>
                <a:srgbClr val="C00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zmienne!$K$12</c:f>
              <c:numCache>
                <c:formatCode>0.00%</c:formatCode>
                <c:ptCount val="1"/>
                <c:pt idx="0">
                  <c:v>0</c:v>
                </c:pt>
              </c:numCache>
            </c:numRef>
          </c:val>
          <c:extLst>
            <c:ext xmlns:c16="http://schemas.microsoft.com/office/drawing/2014/chart" uri="{C3380CC4-5D6E-409C-BE32-E72D297353CC}">
              <c16:uniqueId val="{00000003-9040-4DA6-B8D5-8A0A07A5172F}"/>
            </c:ext>
          </c:extLst>
        </c:ser>
        <c:ser>
          <c:idx val="2"/>
          <c:order val="2"/>
          <c:tx>
            <c:strRef>
              <c:f>zmienne!$H$13</c:f>
              <c:strCache>
                <c:ptCount val="1"/>
                <c:pt idx="0">
                  <c:v>ub. chorobowe</c:v>
                </c:pt>
              </c:strCache>
            </c:strRef>
          </c:tx>
          <c:spPr>
            <a:solidFill>
              <a:srgbClr val="FF0000"/>
            </a:solidFill>
          </c:spPr>
          <c:invertIfNegative val="0"/>
          <c:dLbls>
            <c:dLbl>
              <c:idx val="0"/>
              <c:layout>
                <c:manualLayout>
                  <c:x val="0.23888879058657025"/>
                  <c:y val="0.3436095512961277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40-4DA6-B8D5-8A0A07A5172F}"/>
                </c:ext>
              </c:extLst>
            </c:dLbl>
            <c:spPr>
              <a:solidFill>
                <a:srgbClr val="FF0000"/>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zmienne!$K$13</c:f>
              <c:numCache>
                <c:formatCode>0.00%</c:formatCode>
                <c:ptCount val="1"/>
                <c:pt idx="0">
                  <c:v>0</c:v>
                </c:pt>
              </c:numCache>
            </c:numRef>
          </c:val>
          <c:extLst>
            <c:ext xmlns:c16="http://schemas.microsoft.com/office/drawing/2014/chart" uri="{C3380CC4-5D6E-409C-BE32-E72D297353CC}">
              <c16:uniqueId val="{00000005-9040-4DA6-B8D5-8A0A07A5172F}"/>
            </c:ext>
          </c:extLst>
        </c:ser>
        <c:ser>
          <c:idx val="3"/>
          <c:order val="3"/>
          <c:tx>
            <c:strRef>
              <c:f>zmienne!$H$14</c:f>
              <c:strCache>
                <c:ptCount val="1"/>
                <c:pt idx="0">
                  <c:v>ub. rentowe</c:v>
                </c:pt>
              </c:strCache>
            </c:strRef>
          </c:tx>
          <c:spPr>
            <a:solidFill>
              <a:srgbClr val="FF6600"/>
            </a:solidFill>
          </c:spPr>
          <c:invertIfNegative val="0"/>
          <c:dLbls>
            <c:dLbl>
              <c:idx val="0"/>
              <c:layout>
                <c:manualLayout>
                  <c:x val="0.23888879058657025"/>
                  <c:y val="0.27106874339910775"/>
                </c:manualLayout>
              </c:layout>
              <c:spPr>
                <a:solidFill>
                  <a:srgbClr val="FF66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40-4DA6-B8D5-8A0A07A5172F}"/>
                </c:ext>
              </c:extLst>
            </c:dLbl>
            <c:spPr>
              <a:solidFill>
                <a:srgbClr val="FF66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zmienne!$K$14</c:f>
              <c:numCache>
                <c:formatCode>0.00%</c:formatCode>
                <c:ptCount val="1"/>
                <c:pt idx="0">
                  <c:v>0</c:v>
                </c:pt>
              </c:numCache>
            </c:numRef>
          </c:val>
          <c:extLst>
            <c:ext xmlns:c16="http://schemas.microsoft.com/office/drawing/2014/chart" uri="{C3380CC4-5D6E-409C-BE32-E72D297353CC}">
              <c16:uniqueId val="{00000007-9040-4DA6-B8D5-8A0A07A5172F}"/>
            </c:ext>
          </c:extLst>
        </c:ser>
        <c:ser>
          <c:idx val="4"/>
          <c:order val="4"/>
          <c:tx>
            <c:strRef>
              <c:f>zmienne!$H$15</c:f>
              <c:strCache>
                <c:ptCount val="1"/>
                <c:pt idx="0">
                  <c:v>ub. emerytalne</c:v>
                </c:pt>
              </c:strCache>
            </c:strRef>
          </c:tx>
          <c:spPr>
            <a:solidFill>
              <a:srgbClr val="FFC000"/>
            </a:solidFill>
          </c:spPr>
          <c:invertIfNegative val="0"/>
          <c:dLbls>
            <c:dLbl>
              <c:idx val="0"/>
              <c:layout>
                <c:manualLayout>
                  <c:x val="0.23514347223450988"/>
                  <c:y val="0.22059975321809872"/>
                </c:manualLayout>
              </c:layout>
              <c:spPr>
                <a:solidFill>
                  <a:srgbClr val="FFC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40-4DA6-B8D5-8A0A07A5172F}"/>
                </c:ext>
              </c:extLst>
            </c:dLbl>
            <c:spPr>
              <a:solidFill>
                <a:srgbClr val="FFC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zmienne!$K$15</c:f>
              <c:numCache>
                <c:formatCode>0.00%</c:formatCode>
                <c:ptCount val="1"/>
                <c:pt idx="0">
                  <c:v>0</c:v>
                </c:pt>
              </c:numCache>
            </c:numRef>
          </c:val>
          <c:extLst>
            <c:ext xmlns:c16="http://schemas.microsoft.com/office/drawing/2014/chart" uri="{C3380CC4-5D6E-409C-BE32-E72D297353CC}">
              <c16:uniqueId val="{00000009-9040-4DA6-B8D5-8A0A07A5172F}"/>
            </c:ext>
          </c:extLst>
        </c:ser>
        <c:ser>
          <c:idx val="5"/>
          <c:order val="5"/>
          <c:tx>
            <c:strRef>
              <c:f>zmienne!$H$16</c:f>
              <c:strCache>
                <c:ptCount val="1"/>
                <c:pt idx="0">
                  <c:v>zaliczka na PIT</c:v>
                </c:pt>
              </c:strCache>
            </c:strRef>
          </c:tx>
          <c:spPr>
            <a:solidFill>
              <a:srgbClr val="FFFF00"/>
            </a:solidFill>
          </c:spPr>
          <c:invertIfNegative val="0"/>
          <c:dLbls>
            <c:dLbl>
              <c:idx val="0"/>
              <c:layout>
                <c:manualLayout>
                  <c:x val="0.23139815388245052"/>
                  <c:y val="0.21396043124091599"/>
                </c:manualLayout>
              </c:layout>
              <c:spPr>
                <a:solidFill>
                  <a:srgbClr val="FFFF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40-4DA6-B8D5-8A0A07A5172F}"/>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zmienne!$K$16</c:f>
              <c:numCache>
                <c:formatCode>0.00%</c:formatCode>
                <c:ptCount val="1"/>
                <c:pt idx="0">
                  <c:v>0</c:v>
                </c:pt>
              </c:numCache>
            </c:numRef>
          </c:val>
          <c:extLst>
            <c:ext xmlns:c16="http://schemas.microsoft.com/office/drawing/2014/chart" uri="{C3380CC4-5D6E-409C-BE32-E72D297353CC}">
              <c16:uniqueId val="{0000000B-9040-4DA6-B8D5-8A0A07A5172F}"/>
            </c:ext>
          </c:extLst>
        </c:ser>
        <c:ser>
          <c:idx val="6"/>
          <c:order val="6"/>
          <c:tx>
            <c:strRef>
              <c:f>zmienne!$H$17</c:f>
              <c:strCache>
                <c:ptCount val="1"/>
                <c:pt idx="0">
                  <c:v>ub. emerytalne </c:v>
                </c:pt>
              </c:strCache>
            </c:strRef>
          </c:tx>
          <c:spPr>
            <a:solidFill>
              <a:schemeClr val="accent2">
                <a:lumMod val="75000"/>
              </a:schemeClr>
            </a:solidFill>
          </c:spPr>
          <c:invertIfNegative val="0"/>
          <c:dLbls>
            <c:dLbl>
              <c:idx val="0"/>
              <c:layout>
                <c:manualLayout>
                  <c:x val="0.23139815388245052"/>
                  <c:y val="0.20336998462841546"/>
                </c:manualLayout>
              </c:layout>
              <c:spPr>
                <a:solidFill>
                  <a:schemeClr val="accent2">
                    <a:lumMod val="75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40-4DA6-B8D5-8A0A07A5172F}"/>
                </c:ext>
              </c:extLst>
            </c:dLbl>
            <c:spPr>
              <a:solidFill>
                <a:schemeClr val="accent2">
                  <a:lumMod val="75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zmienne!$K$17</c:f>
              <c:numCache>
                <c:formatCode>0.00%</c:formatCode>
                <c:ptCount val="1"/>
                <c:pt idx="0">
                  <c:v>0</c:v>
                </c:pt>
              </c:numCache>
            </c:numRef>
          </c:val>
          <c:extLst>
            <c:ext xmlns:c16="http://schemas.microsoft.com/office/drawing/2014/chart" uri="{C3380CC4-5D6E-409C-BE32-E72D297353CC}">
              <c16:uniqueId val="{0000000D-9040-4DA6-B8D5-8A0A07A5172F}"/>
            </c:ext>
          </c:extLst>
        </c:ser>
        <c:ser>
          <c:idx val="7"/>
          <c:order val="7"/>
          <c:tx>
            <c:strRef>
              <c:f>zmienne!$H$18</c:f>
              <c:strCache>
                <c:ptCount val="1"/>
                <c:pt idx="0">
                  <c:v>ub. rentowe</c:v>
                </c:pt>
              </c:strCache>
            </c:strRef>
          </c:tx>
          <c:spPr>
            <a:solidFill>
              <a:schemeClr val="accent1">
                <a:lumMod val="60000"/>
                <a:lumOff val="40000"/>
              </a:schemeClr>
            </a:solidFill>
          </c:spPr>
          <c:invertIfNegative val="0"/>
          <c:dLbls>
            <c:dLbl>
              <c:idx val="0"/>
              <c:layout>
                <c:manualLayout>
                  <c:x val="0.23888879058657025"/>
                  <c:y val="0.16333432673505452"/>
                </c:manualLayout>
              </c:layout>
              <c:spPr>
                <a:solidFill>
                  <a:schemeClr val="accent1">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40-4DA6-B8D5-8A0A07A5172F}"/>
                </c:ext>
              </c:extLst>
            </c:dLbl>
            <c:spPr>
              <a:solidFill>
                <a:schemeClr val="accent1">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zmienne!$K$18</c:f>
              <c:numCache>
                <c:formatCode>0.00%</c:formatCode>
                <c:ptCount val="1"/>
                <c:pt idx="0">
                  <c:v>0</c:v>
                </c:pt>
              </c:numCache>
            </c:numRef>
          </c:val>
          <c:extLst>
            <c:ext xmlns:c16="http://schemas.microsoft.com/office/drawing/2014/chart" uri="{C3380CC4-5D6E-409C-BE32-E72D297353CC}">
              <c16:uniqueId val="{0000000F-9040-4DA6-B8D5-8A0A07A5172F}"/>
            </c:ext>
          </c:extLst>
        </c:ser>
        <c:ser>
          <c:idx val="8"/>
          <c:order val="8"/>
          <c:tx>
            <c:strRef>
              <c:f>zmienne!$H$19</c:f>
              <c:strCache>
                <c:ptCount val="1"/>
                <c:pt idx="0">
                  <c:v>wypadkowe</c:v>
                </c:pt>
              </c:strCache>
            </c:strRef>
          </c:tx>
          <c:spPr>
            <a:solidFill>
              <a:schemeClr val="accent3">
                <a:lumMod val="40000"/>
                <a:lumOff val="60000"/>
              </a:schemeClr>
            </a:solidFill>
          </c:spPr>
          <c:invertIfNegative val="0"/>
          <c:dLbls>
            <c:dLbl>
              <c:idx val="0"/>
              <c:layout>
                <c:manualLayout>
                  <c:x val="0.23888879058657025"/>
                  <c:y val="0.11515878742248853"/>
                </c:manualLayout>
              </c:layout>
              <c:spPr>
                <a:solidFill>
                  <a:schemeClr val="accent3">
                    <a:lumMod val="40000"/>
                    <a:lumOff val="6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40-4DA6-B8D5-8A0A07A5172F}"/>
                </c:ext>
              </c:extLst>
            </c:dLbl>
            <c:spPr>
              <a:solidFill>
                <a:schemeClr val="accent3">
                  <a:lumMod val="40000"/>
                  <a:lumOff val="6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zmienne!$K$19</c:f>
              <c:numCache>
                <c:formatCode>0.00%</c:formatCode>
                <c:ptCount val="1"/>
                <c:pt idx="0">
                  <c:v>0</c:v>
                </c:pt>
              </c:numCache>
            </c:numRef>
          </c:val>
          <c:extLst>
            <c:ext xmlns:c16="http://schemas.microsoft.com/office/drawing/2014/chart" uri="{C3380CC4-5D6E-409C-BE32-E72D297353CC}">
              <c16:uniqueId val="{00000011-9040-4DA6-B8D5-8A0A07A5172F}"/>
            </c:ext>
          </c:extLst>
        </c:ser>
        <c:ser>
          <c:idx val="9"/>
          <c:order val="9"/>
          <c:tx>
            <c:strRef>
              <c:f>zmienne!$H$20</c:f>
              <c:strCache>
                <c:ptCount val="1"/>
                <c:pt idx="0">
                  <c:v>fundusz pracy</c:v>
                </c:pt>
              </c:strCache>
            </c:strRef>
          </c:tx>
          <c:spPr>
            <a:solidFill>
              <a:schemeClr val="accent4">
                <a:lumMod val="60000"/>
                <a:lumOff val="40000"/>
              </a:schemeClr>
            </a:solidFill>
          </c:spPr>
          <c:invertIfNegative val="0"/>
          <c:dLbls>
            <c:dLbl>
              <c:idx val="0"/>
              <c:layout>
                <c:manualLayout>
                  <c:x val="0.23888879058657025"/>
                  <c:y val="5.7361106754086032E-2"/>
                </c:manualLayout>
              </c:layout>
              <c:spPr>
                <a:solidFill>
                  <a:schemeClr val="accent4">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40-4DA6-B8D5-8A0A07A5172F}"/>
                </c:ext>
              </c:extLst>
            </c:dLbl>
            <c:spPr>
              <a:solidFill>
                <a:schemeClr val="accent4">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zmienne!$K$20</c:f>
              <c:numCache>
                <c:formatCode>0.00%</c:formatCode>
                <c:ptCount val="1"/>
                <c:pt idx="0">
                  <c:v>0</c:v>
                </c:pt>
              </c:numCache>
            </c:numRef>
          </c:val>
          <c:extLst>
            <c:ext xmlns:c16="http://schemas.microsoft.com/office/drawing/2014/chart" uri="{C3380CC4-5D6E-409C-BE32-E72D297353CC}">
              <c16:uniqueId val="{00000013-9040-4DA6-B8D5-8A0A07A5172F}"/>
            </c:ext>
          </c:extLst>
        </c:ser>
        <c:ser>
          <c:idx val="10"/>
          <c:order val="10"/>
          <c:tx>
            <c:strRef>
              <c:f>zmienne!$H$21</c:f>
              <c:strCache>
                <c:ptCount val="1"/>
                <c:pt idx="0">
                  <c:v>fundusz gwar.św.prac.</c:v>
                </c:pt>
              </c:strCache>
            </c:strRef>
          </c:tx>
          <c:spPr>
            <a:solidFill>
              <a:schemeClr val="accent5">
                <a:lumMod val="60000"/>
                <a:lumOff val="40000"/>
              </a:schemeClr>
            </a:solidFill>
          </c:spPr>
          <c:invertIfNegative val="0"/>
          <c:dLbls>
            <c:dLbl>
              <c:idx val="0"/>
              <c:layout>
                <c:manualLayout>
                  <c:x val="0.23695390604264371"/>
                  <c:y val="-7.94120107496524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040-4DA6-B8D5-8A0A07A5172F}"/>
                </c:ext>
              </c:extLst>
            </c:dLbl>
            <c:spPr>
              <a:solidFill>
                <a:schemeClr val="accent5">
                  <a:lumMod val="60000"/>
                  <a:lumOff val="40000"/>
                </a:schemeClr>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zmienne!$K$21</c:f>
              <c:numCache>
                <c:formatCode>0.00%</c:formatCode>
                <c:ptCount val="1"/>
                <c:pt idx="0">
                  <c:v>0</c:v>
                </c:pt>
              </c:numCache>
            </c:numRef>
          </c:val>
          <c:extLst>
            <c:ext xmlns:c16="http://schemas.microsoft.com/office/drawing/2014/chart" uri="{C3380CC4-5D6E-409C-BE32-E72D297353CC}">
              <c16:uniqueId val="{00000015-9040-4DA6-B8D5-8A0A07A5172F}"/>
            </c:ext>
          </c:extLst>
        </c:ser>
        <c:dLbls>
          <c:showLegendKey val="0"/>
          <c:showVal val="1"/>
          <c:showCatName val="0"/>
          <c:showSerName val="0"/>
          <c:showPercent val="0"/>
          <c:showBubbleSize val="0"/>
        </c:dLbls>
        <c:gapWidth val="55"/>
        <c:overlap val="100"/>
        <c:axId val="454901632"/>
        <c:axId val="454906336"/>
      </c:barChart>
      <c:catAx>
        <c:axId val="454901632"/>
        <c:scaling>
          <c:orientation val="minMax"/>
        </c:scaling>
        <c:delete val="0"/>
        <c:axPos val="b"/>
        <c:majorTickMark val="none"/>
        <c:minorTickMark val="none"/>
        <c:tickLblPos val="none"/>
        <c:crossAx val="454906336"/>
        <c:crosses val="autoZero"/>
        <c:auto val="1"/>
        <c:lblAlgn val="ctr"/>
        <c:lblOffset val="100"/>
        <c:noMultiLvlLbl val="0"/>
      </c:catAx>
      <c:valAx>
        <c:axId val="454906336"/>
        <c:scaling>
          <c:orientation val="minMax"/>
          <c:max val="1.8"/>
        </c:scaling>
        <c:delete val="0"/>
        <c:axPos val="l"/>
        <c:numFmt formatCode="0.00%" sourceLinked="1"/>
        <c:majorTickMark val="none"/>
        <c:minorTickMark val="none"/>
        <c:tickLblPos val="nextTo"/>
        <c:txPr>
          <a:bodyPr/>
          <a:lstStyle/>
          <a:p>
            <a:pPr>
              <a:defRPr>
                <a:latin typeface="+mj-lt"/>
              </a:defRPr>
            </a:pPr>
            <a:endParaRPr lang="pl-PL"/>
          </a:p>
        </c:txPr>
        <c:crossAx val="454901632"/>
        <c:crosses val="autoZero"/>
        <c:crossBetween val="between"/>
      </c:valAx>
    </c:plotArea>
    <c:legend>
      <c:legendPos val="r"/>
      <c:layout>
        <c:manualLayout>
          <c:xMode val="edge"/>
          <c:yMode val="edge"/>
          <c:x val="0.57429561473355306"/>
          <c:y val="0.15637424057052668"/>
          <c:w val="0.40324574596714735"/>
          <c:h val="0.82752879848352445"/>
        </c:manualLayout>
      </c:layout>
      <c:overlay val="0"/>
      <c:txPr>
        <a:bodyPr/>
        <a:lstStyle/>
        <a:p>
          <a:pPr>
            <a:defRPr sz="900">
              <a:latin typeface="+mj-lt"/>
            </a:defRPr>
          </a:pPr>
          <a:endParaRPr lang="pl-PL"/>
        </a:p>
      </c:txPr>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502920</xdr:colOff>
      <xdr:row>38</xdr:row>
      <xdr:rowOff>0</xdr:rowOff>
    </xdr:from>
    <xdr:to>
      <xdr:col>17</xdr:col>
      <xdr:colOff>609600</xdr:colOff>
      <xdr:row>59</xdr:row>
      <xdr:rowOff>167640</xdr:rowOff>
    </xdr:to>
    <xdr:graphicFrame macro="">
      <xdr:nvGraphicFramePr>
        <xdr:cNvPr id="3" name="Wykr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304800</xdr:colOff>
      <xdr:row>38</xdr:row>
      <xdr:rowOff>15240</xdr:rowOff>
    </xdr:from>
    <xdr:to>
      <xdr:col>8</xdr:col>
      <xdr:colOff>350520</xdr:colOff>
      <xdr:row>59</xdr:row>
      <xdr:rowOff>160020</xdr:rowOff>
    </xdr:to>
    <xdr:graphicFrame macro="">
      <xdr:nvGraphicFramePr>
        <xdr:cNvPr id="4" name="Wykr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121920</xdr:colOff>
      <xdr:row>38</xdr:row>
      <xdr:rowOff>15240</xdr:rowOff>
    </xdr:from>
    <xdr:to>
      <xdr:col>24</xdr:col>
      <xdr:colOff>556260</xdr:colOff>
      <xdr:row>59</xdr:row>
      <xdr:rowOff>160020</xdr:rowOff>
    </xdr:to>
    <xdr:graphicFrame macro="">
      <xdr:nvGraphicFramePr>
        <xdr:cNvPr id="5" name="Wykr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373380</xdr:colOff>
      <xdr:row>61</xdr:row>
      <xdr:rowOff>167640</xdr:rowOff>
    </xdr:from>
    <xdr:to>
      <xdr:col>3</xdr:col>
      <xdr:colOff>652452</xdr:colOff>
      <xdr:row>63</xdr:row>
      <xdr:rowOff>29211</xdr:rowOff>
    </xdr:to>
    <xdr:pic>
      <xdr:nvPicPr>
        <xdr:cNvPr id="6" name="Picture 6" descr="logo_WSZiB"/>
        <xdr:cNvPicPr>
          <a:picLocks noChangeAspect="1" noChangeArrowheads="1"/>
        </xdr:cNvPicPr>
      </xdr:nvPicPr>
      <xdr:blipFill>
        <a:blip xmlns:r="http://schemas.openxmlformats.org/officeDocument/2006/relationships" r:embed="rId4" cstate="print"/>
        <a:srcRect/>
        <a:stretch>
          <a:fillRect/>
        </a:stretch>
      </xdr:blipFill>
      <xdr:spPr bwMode="auto">
        <a:xfrm>
          <a:off x="403860" y="10248900"/>
          <a:ext cx="279072" cy="21209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403860</xdr:colOff>
      <xdr:row>0</xdr:row>
      <xdr:rowOff>0</xdr:rowOff>
    </xdr:from>
    <xdr:to>
      <xdr:col>10</xdr:col>
      <xdr:colOff>541020</xdr:colOff>
      <xdr:row>22</xdr:row>
      <xdr:rowOff>160020</xdr:rowOff>
    </xdr:to>
    <xdr:graphicFrame macro="">
      <xdr:nvGraphicFramePr>
        <xdr:cNvPr id="3" name="Wykres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15240</xdr:rowOff>
    </xdr:from>
    <xdr:to>
      <xdr:col>5</xdr:col>
      <xdr:colOff>342900</xdr:colOff>
      <xdr:row>22</xdr:row>
      <xdr:rowOff>152400</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518160</xdr:colOff>
      <xdr:row>0</xdr:row>
      <xdr:rowOff>15240</xdr:rowOff>
    </xdr:from>
    <xdr:to>
      <xdr:col>16</xdr:col>
      <xdr:colOff>251460</xdr:colOff>
      <xdr:row>22</xdr:row>
      <xdr:rowOff>152400</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rzepływ">
  <a:themeElements>
    <a:clrScheme name="Przepły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Przepły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rzepły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autoPageBreaks="0" fitToPage="1"/>
  </sheetPr>
  <dimension ref="B1:Z170"/>
  <sheetViews>
    <sheetView showGridLines="0" showRowColHeaders="0" tabSelected="1" zoomScaleNormal="100" workbookViewId="0">
      <selection activeCell="O9" sqref="O9:R9"/>
    </sheetView>
  </sheetViews>
  <sheetFormatPr defaultColWidth="11.42578125" defaultRowHeight="12.75"/>
  <cols>
    <col min="1" max="1" width="1.42578125" style="81" customWidth="1"/>
    <col min="2" max="2" width="3.7109375" style="81" hidden="1" customWidth="1"/>
    <col min="3" max="3" width="5.5703125" style="81" hidden="1" customWidth="1"/>
    <col min="4" max="4" width="11" style="80" customWidth="1"/>
    <col min="5" max="5" width="13.7109375" style="81" customWidth="1"/>
    <col min="6" max="6" width="9.85546875" style="81" hidden="1" customWidth="1"/>
    <col min="7" max="8" width="13.7109375" style="81" customWidth="1"/>
    <col min="9" max="11" width="9.7109375" style="81" customWidth="1"/>
    <col min="12" max="12" width="13.140625" style="81" hidden="1" customWidth="1"/>
    <col min="13" max="13" width="9.5703125" style="81" customWidth="1"/>
    <col min="14" max="14" width="12.42578125" style="81" hidden="1" customWidth="1"/>
    <col min="15" max="15" width="12.5703125" style="81" hidden="1" customWidth="1"/>
    <col min="16" max="16" width="7" style="81" hidden="1" customWidth="1"/>
    <col min="17" max="17" width="10" style="82" customWidth="1"/>
    <col min="18" max="18" width="10.7109375" style="82" customWidth="1"/>
    <col min="19" max="21" width="9.7109375" style="81" customWidth="1"/>
    <col min="22" max="22" width="8.140625" style="81" hidden="1" customWidth="1"/>
    <col min="23" max="23" width="9.7109375" style="81" customWidth="1"/>
    <col min="24" max="24" width="11.7109375" style="81" customWidth="1"/>
    <col min="25" max="25" width="10.7109375" style="81" customWidth="1"/>
    <col min="26" max="16384" width="11.42578125" style="81"/>
  </cols>
  <sheetData>
    <row r="1" spans="4:25" ht="3" customHeight="1" thickBot="1"/>
    <row r="2" spans="4:25" ht="19.899999999999999" customHeight="1" thickBot="1">
      <c r="E2" s="335" t="s">
        <v>215</v>
      </c>
      <c r="F2" s="336"/>
      <c r="G2" s="336"/>
      <c r="H2" s="336"/>
      <c r="I2" s="336"/>
      <c r="J2" s="336"/>
      <c r="K2" s="336"/>
      <c r="L2" s="336"/>
      <c r="M2" s="336"/>
      <c r="N2" s="336"/>
      <c r="O2" s="336"/>
      <c r="P2" s="336"/>
      <c r="Q2" s="336"/>
      <c r="R2" s="336"/>
      <c r="S2" s="336"/>
      <c r="T2" s="336"/>
      <c r="U2" s="336"/>
      <c r="V2" s="336"/>
      <c r="W2" s="336"/>
      <c r="X2" s="337"/>
    </row>
    <row r="3" spans="4:25" ht="7.15" customHeight="1">
      <c r="E3" s="245"/>
      <c r="F3" s="246"/>
      <c r="G3" s="246"/>
      <c r="H3" s="246"/>
      <c r="I3" s="246"/>
      <c r="J3" s="246"/>
      <c r="K3" s="246"/>
      <c r="L3" s="246"/>
      <c r="M3" s="246"/>
      <c r="N3" s="246"/>
      <c r="O3" s="246"/>
      <c r="P3" s="246"/>
      <c r="Q3" s="246"/>
      <c r="R3" s="246"/>
      <c r="S3" s="246"/>
      <c r="T3" s="215"/>
      <c r="U3" s="215"/>
      <c r="V3" s="215"/>
      <c r="W3" s="215"/>
      <c r="X3" s="216"/>
    </row>
    <row r="4" spans="4:25" ht="15">
      <c r="E4" s="249" t="s">
        <v>216</v>
      </c>
      <c r="F4" s="250"/>
      <c r="G4" s="250"/>
      <c r="H4" s="250"/>
      <c r="I4" s="250"/>
      <c r="J4" s="250"/>
      <c r="K4" s="250"/>
      <c r="L4" s="250"/>
      <c r="M4" s="250"/>
      <c r="N4" s="250"/>
      <c r="O4" s="250"/>
      <c r="P4" s="250"/>
      <c r="Q4" s="250"/>
      <c r="R4" s="250"/>
      <c r="S4" s="250"/>
      <c r="T4" s="257">
        <v>2100</v>
      </c>
      <c r="U4" s="257"/>
      <c r="V4" s="257"/>
      <c r="W4" s="215"/>
      <c r="X4" s="216"/>
    </row>
    <row r="5" spans="4:25" ht="12.95" customHeight="1">
      <c r="E5" s="247" t="s">
        <v>217</v>
      </c>
      <c r="F5" s="248"/>
      <c r="G5" s="248"/>
      <c r="H5" s="248"/>
      <c r="I5" s="248"/>
      <c r="J5" s="248"/>
      <c r="K5" s="248"/>
      <c r="L5" s="248"/>
      <c r="M5" s="248"/>
      <c r="N5" s="248"/>
      <c r="O5" s="248"/>
      <c r="P5" s="248"/>
      <c r="Q5" s="248"/>
      <c r="R5" s="248"/>
      <c r="S5" s="248"/>
      <c r="T5" s="244">
        <v>46.33</v>
      </c>
      <c r="U5" s="244"/>
      <c r="V5" s="224"/>
      <c r="W5" s="215"/>
      <c r="X5" s="216"/>
    </row>
    <row r="6" spans="4:25" ht="12.95" customHeight="1">
      <c r="E6" s="249" t="s">
        <v>212</v>
      </c>
      <c r="F6" s="250"/>
      <c r="G6" s="250"/>
      <c r="H6" s="250"/>
      <c r="I6" s="250"/>
      <c r="J6" s="250"/>
      <c r="K6" s="250"/>
      <c r="L6" s="250"/>
      <c r="M6" s="250"/>
      <c r="N6" s="250"/>
      <c r="O6" s="250"/>
      <c r="P6" s="250"/>
      <c r="Q6" s="250"/>
      <c r="R6" s="250"/>
      <c r="S6" s="250"/>
      <c r="T6" s="244">
        <v>133290</v>
      </c>
      <c r="U6" s="244"/>
      <c r="V6" s="224"/>
      <c r="W6" s="215"/>
      <c r="X6" s="216"/>
    </row>
    <row r="7" spans="4:25" ht="6" customHeight="1">
      <c r="E7" s="251"/>
      <c r="F7" s="252"/>
      <c r="G7" s="252"/>
      <c r="H7" s="252"/>
      <c r="I7" s="252"/>
      <c r="J7" s="252"/>
      <c r="K7" s="252"/>
      <c r="L7" s="252"/>
      <c r="M7" s="252"/>
      <c r="N7" s="252"/>
      <c r="O7" s="252"/>
      <c r="P7" s="252"/>
      <c r="Q7" s="252"/>
      <c r="R7" s="252"/>
      <c r="S7" s="252"/>
      <c r="T7" s="217"/>
      <c r="U7" s="217"/>
      <c r="V7" s="217"/>
      <c r="W7" s="217"/>
      <c r="X7" s="218"/>
    </row>
    <row r="8" spans="4:25" ht="4.1500000000000004" customHeight="1" thickBot="1"/>
    <row r="9" spans="4:25" ht="19.899999999999999" customHeight="1" thickTop="1" thickBot="1">
      <c r="M9" s="87" t="s">
        <v>0</v>
      </c>
      <c r="O9" s="254"/>
      <c r="P9" s="255"/>
      <c r="Q9" s="255"/>
      <c r="R9" s="256"/>
      <c r="S9" s="253" t="str">
        <f>IF(OR(C32=0,MIN(E20:E31)&gt;=MWZP),"","Kwota nie może być mniejsza niż minimalne wynagrodzenie za pracę!")</f>
        <v/>
      </c>
      <c r="T9" s="253"/>
      <c r="U9" s="253"/>
      <c r="V9" s="253"/>
      <c r="W9" s="253"/>
      <c r="X9" s="253"/>
      <c r="Y9" s="253"/>
    </row>
    <row r="10" spans="4:25" ht="19.899999999999999" customHeight="1" thickTop="1" thickBot="1">
      <c r="H10" s="88"/>
      <c r="I10" s="88"/>
      <c r="J10" s="88"/>
      <c r="K10" s="88"/>
      <c r="L10" s="88"/>
      <c r="M10" s="89" t="s">
        <v>64</v>
      </c>
      <c r="O10" s="160"/>
      <c r="P10" s="160"/>
      <c r="Q10" s="242">
        <v>111.25</v>
      </c>
      <c r="R10" s="243"/>
      <c r="T10" s="90"/>
      <c r="U10" s="90"/>
      <c r="V10" s="90"/>
      <c r="W10" s="90"/>
      <c r="X10" s="90"/>
      <c r="Y10" s="90"/>
    </row>
    <row r="11" spans="4:25" ht="19.899999999999999" customHeight="1" thickTop="1" thickBot="1">
      <c r="H11" s="270" t="s">
        <v>18</v>
      </c>
      <c r="I11" s="270"/>
      <c r="J11" s="270"/>
      <c r="K11" s="270"/>
      <c r="L11" s="270"/>
      <c r="M11" s="270"/>
      <c r="O11" s="161"/>
      <c r="P11" s="213"/>
      <c r="Q11" s="271">
        <v>1.7999999999999999E-2</v>
      </c>
      <c r="R11" s="272"/>
      <c r="S11" s="267"/>
      <c r="T11" s="267"/>
      <c r="U11" s="267"/>
      <c r="V11" s="267"/>
      <c r="W11" s="267"/>
      <c r="X11" s="267"/>
    </row>
    <row r="12" spans="4:25" s="91" customFormat="1" ht="12" hidden="1">
      <c r="K12" s="92"/>
      <c r="M12" s="92"/>
      <c r="R12" s="92"/>
      <c r="S12" s="92"/>
      <c r="Y12" s="93"/>
    </row>
    <row r="13" spans="4:25" hidden="1">
      <c r="R13" s="94"/>
      <c r="W13" s="95"/>
      <c r="X13" s="95"/>
    </row>
    <row r="14" spans="4:25" hidden="1">
      <c r="Y14" s="96"/>
    </row>
    <row r="15" spans="4:25" ht="3" customHeight="1" thickBot="1"/>
    <row r="16" spans="4:25" s="80" customFormat="1" ht="13.9" customHeight="1">
      <c r="D16" s="273" t="s">
        <v>1</v>
      </c>
      <c r="E16" s="285" t="s">
        <v>2</v>
      </c>
      <c r="F16" s="97"/>
      <c r="G16" s="273" t="s">
        <v>12</v>
      </c>
      <c r="H16" s="273" t="s">
        <v>20</v>
      </c>
      <c r="I16" s="289" t="s">
        <v>9</v>
      </c>
      <c r="J16" s="290"/>
      <c r="K16" s="290"/>
      <c r="L16" s="290"/>
      <c r="M16" s="290"/>
      <c r="N16" s="290"/>
      <c r="O16" s="290"/>
      <c r="P16" s="290"/>
      <c r="Q16" s="290"/>
      <c r="R16" s="291"/>
      <c r="S16" s="262" t="s">
        <v>10</v>
      </c>
      <c r="T16" s="263"/>
      <c r="U16" s="263"/>
      <c r="V16" s="263"/>
      <c r="W16" s="263"/>
      <c r="X16" s="263"/>
      <c r="Y16" s="264"/>
    </row>
    <row r="17" spans="2:26" s="80" customFormat="1" ht="10.5" customHeight="1">
      <c r="D17" s="274"/>
      <c r="E17" s="286"/>
      <c r="F17" s="98"/>
      <c r="G17" s="274"/>
      <c r="H17" s="274"/>
      <c r="I17" s="294" t="s">
        <v>22</v>
      </c>
      <c r="J17" s="295"/>
      <c r="K17" s="295"/>
      <c r="L17" s="193"/>
      <c r="M17" s="265" t="s">
        <v>15</v>
      </c>
      <c r="N17" s="193"/>
      <c r="O17" s="193"/>
      <c r="P17" s="193"/>
      <c r="Q17" s="276" t="s">
        <v>13</v>
      </c>
      <c r="R17" s="282" t="s">
        <v>3</v>
      </c>
      <c r="S17" s="260" t="s">
        <v>65</v>
      </c>
      <c r="T17" s="258" t="s">
        <v>25</v>
      </c>
      <c r="U17" s="258" t="s">
        <v>66</v>
      </c>
      <c r="V17" s="165"/>
      <c r="W17" s="268" t="s">
        <v>11</v>
      </c>
      <c r="X17" s="258" t="s">
        <v>211</v>
      </c>
      <c r="Y17" s="279" t="s">
        <v>3</v>
      </c>
    </row>
    <row r="18" spans="2:26" s="80" customFormat="1" ht="16.149999999999999" customHeight="1">
      <c r="D18" s="274"/>
      <c r="E18" s="286"/>
      <c r="F18" s="100" t="s">
        <v>8</v>
      </c>
      <c r="G18" s="274"/>
      <c r="H18" s="274"/>
      <c r="I18" s="194" t="s">
        <v>65</v>
      </c>
      <c r="J18" s="195" t="s">
        <v>25</v>
      </c>
      <c r="K18" s="195" t="s">
        <v>69</v>
      </c>
      <c r="L18" s="211" t="s">
        <v>14</v>
      </c>
      <c r="M18" s="266"/>
      <c r="N18" s="196" t="s">
        <v>16</v>
      </c>
      <c r="O18" s="197" t="s">
        <v>17</v>
      </c>
      <c r="P18" s="214"/>
      <c r="Q18" s="277"/>
      <c r="R18" s="283"/>
      <c r="S18" s="261"/>
      <c r="T18" s="259"/>
      <c r="U18" s="259"/>
      <c r="V18" s="203" t="s">
        <v>14</v>
      </c>
      <c r="W18" s="269"/>
      <c r="X18" s="259"/>
      <c r="Y18" s="280"/>
    </row>
    <row r="19" spans="2:26" s="102" customFormat="1" ht="11.25" customHeight="1" thickBot="1">
      <c r="D19" s="275"/>
      <c r="E19" s="287"/>
      <c r="F19" s="103"/>
      <c r="G19" s="275"/>
      <c r="H19" s="275"/>
      <c r="I19" s="198">
        <v>9.7600000000000006E-2</v>
      </c>
      <c r="J19" s="199">
        <v>1.4999999999999999E-2</v>
      </c>
      <c r="K19" s="199">
        <v>2.4500000000000001E-2</v>
      </c>
      <c r="L19" s="200" t="s">
        <v>19</v>
      </c>
      <c r="M19" s="199">
        <v>0.09</v>
      </c>
      <c r="N19" s="201"/>
      <c r="O19" s="202"/>
      <c r="P19" s="202"/>
      <c r="Q19" s="278"/>
      <c r="R19" s="284"/>
      <c r="S19" s="204">
        <v>9.7600000000000006E-2</v>
      </c>
      <c r="T19" s="205">
        <v>6.5000000000000002E-2</v>
      </c>
      <c r="U19" s="205">
        <f>u_wypadk</f>
        <v>1.7999999999999999E-2</v>
      </c>
      <c r="V19" s="206" t="s">
        <v>19</v>
      </c>
      <c r="W19" s="205">
        <v>2.4500000000000001E-2</v>
      </c>
      <c r="X19" s="205">
        <v>1E-3</v>
      </c>
      <c r="Y19" s="281"/>
    </row>
    <row r="20" spans="2:26" ht="15" customHeight="1" thickTop="1">
      <c r="B20" s="81">
        <v>1</v>
      </c>
      <c r="C20" s="81">
        <f>IF(E20="",0,1)</f>
        <v>0</v>
      </c>
      <c r="D20" s="207" t="s">
        <v>52</v>
      </c>
      <c r="E20" s="233" t="str">
        <f t="shared" ref="E20:E31" si="0">IF(OR(brutto="",brutto&lt;MWZP),"",brutto)</f>
        <v/>
      </c>
      <c r="F20" s="107">
        <f>SUM($E$20:E20)</f>
        <v>0</v>
      </c>
      <c r="G20" s="241" t="str">
        <f t="shared" ref="G20:G31" si="1">IF(E20="","",E20-L20-M20-Q20)</f>
        <v/>
      </c>
      <c r="H20" s="163" t="str">
        <f t="shared" ref="H20:H31" si="2">IF(E20="","",E20+V20+W20+X20)</f>
        <v/>
      </c>
      <c r="I20" s="120" t="str">
        <f>IF(E20="","",IF(E20&gt;=brak_e_r,emeryt*brak_e_r,ROUND(emeryt*E20,2)))</f>
        <v/>
      </c>
      <c r="J20" s="121" t="str">
        <f>IF(E20="","",IF(E20&gt;=brak_e_r,ROUND(rent*brak_e_r,2),ROUND(rent*E20,2)))</f>
        <v/>
      </c>
      <c r="K20" s="121" t="str">
        <f t="shared" ref="K20:K31" si="3">IF(E20="","",ROUND(chorob*E20,2))</f>
        <v/>
      </c>
      <c r="L20" s="222" t="e">
        <f>ROUND(I20+J20+K20,2)</f>
        <v>#VALUE!</v>
      </c>
      <c r="M20" s="121" t="str">
        <f t="shared" ref="M20:M31" si="4">IF(E20="","",ROUND(zdrow*(E20-L20),2))</f>
        <v/>
      </c>
      <c r="N20" s="221" t="str">
        <f t="shared" ref="N20:N31" si="5">IF(E20="","",ROUND(zdrow_z_podatku*(E20-L20),2))</f>
        <v/>
      </c>
      <c r="O20" s="122">
        <f>IF(E20="",0,IF(F19-SUM($L19:L$20)-K_U_P*B19&lt;=I_prog,1,2))</f>
        <v>0</v>
      </c>
      <c r="P20" s="122" t="str">
        <f>IF(E20="","",ROUND(I_proc*ROUND((E20-L20-K_U_P),0)-kwota_wolna-N20,0))</f>
        <v/>
      </c>
      <c r="Q20" s="123" t="str">
        <f>IF(E20="","",IF(P20&lt;0,0,P20))</f>
        <v/>
      </c>
      <c r="R20" s="189" t="str">
        <f t="shared" ref="R20:R31" si="6">IF(E20="","",I20+J20+K20+M20+Q20)</f>
        <v/>
      </c>
      <c r="S20" s="166" t="str">
        <f t="shared" ref="S20:S31" si="7">I20</f>
        <v/>
      </c>
      <c r="T20" s="167" t="str">
        <f t="shared" ref="T20:T31" si="8">IF(J20="","",ROUND(J20*($T$19/rent),2))</f>
        <v/>
      </c>
      <c r="U20" s="167" t="str">
        <f t="shared" ref="U20:U31" si="9">IF(E20="","",ROUND(u_wypadk*E20,2))</f>
        <v/>
      </c>
      <c r="V20" s="223" t="e">
        <f>S20+T20+U20</f>
        <v>#VALUE!</v>
      </c>
      <c r="W20" s="167" t="str">
        <f t="shared" ref="W20:W31" si="10">IF(E20="","",ROUND(F_P*E20,2))</f>
        <v/>
      </c>
      <c r="X20" s="167" t="str">
        <f t="shared" ref="X20:X31" si="11">IF(E20="","",ROUND(F_G_S_P*E20,2))</f>
        <v/>
      </c>
      <c r="Y20" s="191" t="str">
        <f t="shared" ref="Y20:Y31" si="12">IF(E20="","",S20+T20+U20+W20+X20)</f>
        <v/>
      </c>
      <c r="Z20" s="111"/>
    </row>
    <row r="21" spans="2:26" ht="15" customHeight="1">
      <c r="B21" s="81">
        <v>2</v>
      </c>
      <c r="C21" s="81">
        <f t="shared" ref="C21:C31" si="13">IF(E21="",0,1)</f>
        <v>0</v>
      </c>
      <c r="D21" s="207" t="s">
        <v>53</v>
      </c>
      <c r="E21" s="234" t="str">
        <f t="shared" si="0"/>
        <v/>
      </c>
      <c r="F21" s="107">
        <f>SUM($E$20:E21)</f>
        <v>0</v>
      </c>
      <c r="G21" s="241" t="str">
        <f t="shared" si="1"/>
        <v/>
      </c>
      <c r="H21" s="163" t="str">
        <f t="shared" si="2"/>
        <v/>
      </c>
      <c r="I21" s="120" t="str">
        <f t="shared" ref="I21:I31" si="14">IF(E21="","",IF(F21&lt;=brak_e_r,ROUND(emeryt*E21,2),IF(F21&lt;=brak_e_r+E21,ROUND(emeryt*(brak_e_r-F20),2),0)))</f>
        <v/>
      </c>
      <c r="J21" s="121" t="str">
        <f t="shared" ref="J21:J31" si="15">IF(E21="","",IF(F21&lt;=brak_e_r,ROUND(rent*E21,2),IF(F21&lt;=brak_e_r+E21,ROUND(rent*(brak_e_r-F20),2),0)))</f>
        <v/>
      </c>
      <c r="K21" s="121" t="str">
        <f t="shared" si="3"/>
        <v/>
      </c>
      <c r="L21" s="222" t="e">
        <f t="shared" ref="L21:L31" si="16">ROUND(I21+J21+K21,2)</f>
        <v>#VALUE!</v>
      </c>
      <c r="M21" s="121" t="str">
        <f t="shared" si="4"/>
        <v/>
      </c>
      <c r="N21" s="221" t="str">
        <f t="shared" si="5"/>
        <v/>
      </c>
      <c r="O21" s="122">
        <f>IF(E21="",0,IF(F20-SUM($L$20:L20)-K_U_P*B20&lt;=I_prog,1,2))</f>
        <v>0</v>
      </c>
      <c r="P21" s="122" t="str">
        <f>IF(E21="","",IF(F20-SUM($L$20:L20)-K_U_P*B20&lt;=I_prog,ROUND(I_proc*ROUND((E21-L21-K_U_P),0)-kwota_wolna-N21,0),ROUND(II_proc*ROUND((E21-L21-K_U_P),0)-N21,0)))</f>
        <v/>
      </c>
      <c r="Q21" s="124" t="str">
        <f t="shared" ref="Q21:Q31" si="17">IF(E21="","",IF(P21&lt;0,0,P21))</f>
        <v/>
      </c>
      <c r="R21" s="189" t="str">
        <f t="shared" si="6"/>
        <v/>
      </c>
      <c r="S21" s="166" t="str">
        <f t="shared" si="7"/>
        <v/>
      </c>
      <c r="T21" s="167" t="str">
        <f t="shared" si="8"/>
        <v/>
      </c>
      <c r="U21" s="167" t="str">
        <f t="shared" si="9"/>
        <v/>
      </c>
      <c r="V21" s="223" t="e">
        <f t="shared" ref="V21:V31" si="18">S21+T21+U21</f>
        <v>#VALUE!</v>
      </c>
      <c r="W21" s="167" t="str">
        <f t="shared" si="10"/>
        <v/>
      </c>
      <c r="X21" s="167" t="str">
        <f t="shared" si="11"/>
        <v/>
      </c>
      <c r="Y21" s="191" t="str">
        <f t="shared" si="12"/>
        <v/>
      </c>
      <c r="Z21" s="111"/>
    </row>
    <row r="22" spans="2:26" ht="15" customHeight="1">
      <c r="B22" s="81">
        <v>3</v>
      </c>
      <c r="C22" s="81">
        <f t="shared" si="13"/>
        <v>0</v>
      </c>
      <c r="D22" s="207" t="s">
        <v>54</v>
      </c>
      <c r="E22" s="234" t="str">
        <f t="shared" si="0"/>
        <v/>
      </c>
      <c r="F22" s="107">
        <f>SUM($E$20:E22)</f>
        <v>0</v>
      </c>
      <c r="G22" s="241" t="str">
        <f t="shared" si="1"/>
        <v/>
      </c>
      <c r="H22" s="163" t="str">
        <f t="shared" si="2"/>
        <v/>
      </c>
      <c r="I22" s="120" t="str">
        <f t="shared" si="14"/>
        <v/>
      </c>
      <c r="J22" s="121" t="str">
        <f t="shared" si="15"/>
        <v/>
      </c>
      <c r="K22" s="121" t="str">
        <f t="shared" si="3"/>
        <v/>
      </c>
      <c r="L22" s="222" t="e">
        <f t="shared" si="16"/>
        <v>#VALUE!</v>
      </c>
      <c r="M22" s="121" t="str">
        <f t="shared" si="4"/>
        <v/>
      </c>
      <c r="N22" s="221" t="str">
        <f t="shared" si="5"/>
        <v/>
      </c>
      <c r="O22" s="122">
        <f>IF(E22="",0,IF(F21-SUM($L$20:L21)-K_U_P*B21&lt;=I_prog,1,2))</f>
        <v>0</v>
      </c>
      <c r="P22" s="122" t="str">
        <f>IF(E22="","",IF(F21-SUM($L$20:L21)-K_U_P*B21&lt;=I_prog,ROUND(I_proc*ROUND((E22-L22-K_U_P),0)-kwota_wolna-N22,0),ROUND(II_proc*ROUND((E22-L22-K_U_P),0)-N22,0)))</f>
        <v/>
      </c>
      <c r="Q22" s="124" t="str">
        <f t="shared" si="17"/>
        <v/>
      </c>
      <c r="R22" s="189" t="str">
        <f t="shared" si="6"/>
        <v/>
      </c>
      <c r="S22" s="166" t="str">
        <f t="shared" si="7"/>
        <v/>
      </c>
      <c r="T22" s="167" t="str">
        <f t="shared" si="8"/>
        <v/>
      </c>
      <c r="U22" s="167" t="str">
        <f t="shared" si="9"/>
        <v/>
      </c>
      <c r="V22" s="223" t="e">
        <f t="shared" si="18"/>
        <v>#VALUE!</v>
      </c>
      <c r="W22" s="167" t="str">
        <f t="shared" si="10"/>
        <v/>
      </c>
      <c r="X22" s="167" t="str">
        <f t="shared" si="11"/>
        <v/>
      </c>
      <c r="Y22" s="191" t="str">
        <f t="shared" si="12"/>
        <v/>
      </c>
      <c r="Z22" s="111"/>
    </row>
    <row r="23" spans="2:26" ht="15" customHeight="1">
      <c r="B23" s="81">
        <v>4</v>
      </c>
      <c r="C23" s="81">
        <f t="shared" si="13"/>
        <v>0</v>
      </c>
      <c r="D23" s="207" t="s">
        <v>55</v>
      </c>
      <c r="E23" s="234" t="str">
        <f t="shared" si="0"/>
        <v/>
      </c>
      <c r="F23" s="107">
        <f>SUM($E$20:E23)</f>
        <v>0</v>
      </c>
      <c r="G23" s="241" t="str">
        <f t="shared" si="1"/>
        <v/>
      </c>
      <c r="H23" s="163" t="str">
        <f t="shared" si="2"/>
        <v/>
      </c>
      <c r="I23" s="120" t="str">
        <f t="shared" si="14"/>
        <v/>
      </c>
      <c r="J23" s="121" t="str">
        <f t="shared" si="15"/>
        <v/>
      </c>
      <c r="K23" s="121" t="str">
        <f t="shared" si="3"/>
        <v/>
      </c>
      <c r="L23" s="222" t="e">
        <f t="shared" si="16"/>
        <v>#VALUE!</v>
      </c>
      <c r="M23" s="121" t="str">
        <f t="shared" si="4"/>
        <v/>
      </c>
      <c r="N23" s="221" t="str">
        <f t="shared" si="5"/>
        <v/>
      </c>
      <c r="O23" s="122">
        <f>IF(E23="",0,IF(F22-SUM($L$20:L22)-K_U_P*B22&lt;=I_prog,1,2))</f>
        <v>0</v>
      </c>
      <c r="P23" s="122" t="str">
        <f>IF(E23="","",IF(F22-SUM($L$20:L22)-K_U_P*B22&lt;=I_prog,ROUND(I_proc*ROUND((E23-L23-K_U_P),0)-kwota_wolna-N23,0),ROUND(II_proc*ROUND((E23-L23-K_U_P),0)-N23,0)))</f>
        <v/>
      </c>
      <c r="Q23" s="124" t="str">
        <f t="shared" si="17"/>
        <v/>
      </c>
      <c r="R23" s="189" t="str">
        <f t="shared" si="6"/>
        <v/>
      </c>
      <c r="S23" s="166" t="str">
        <f t="shared" si="7"/>
        <v/>
      </c>
      <c r="T23" s="167" t="str">
        <f t="shared" si="8"/>
        <v/>
      </c>
      <c r="U23" s="167" t="str">
        <f t="shared" si="9"/>
        <v/>
      </c>
      <c r="V23" s="223" t="e">
        <f t="shared" si="18"/>
        <v>#VALUE!</v>
      </c>
      <c r="W23" s="167" t="str">
        <f t="shared" si="10"/>
        <v/>
      </c>
      <c r="X23" s="167" t="str">
        <f t="shared" si="11"/>
        <v/>
      </c>
      <c r="Y23" s="191" t="str">
        <f t="shared" si="12"/>
        <v/>
      </c>
      <c r="Z23" s="111"/>
    </row>
    <row r="24" spans="2:26" ht="15" customHeight="1">
      <c r="B24" s="81">
        <v>5</v>
      </c>
      <c r="C24" s="81">
        <f t="shared" si="13"/>
        <v>0</v>
      </c>
      <c r="D24" s="207" t="s">
        <v>56</v>
      </c>
      <c r="E24" s="234" t="str">
        <f t="shared" si="0"/>
        <v/>
      </c>
      <c r="F24" s="107">
        <f>SUM($E$20:E24)</f>
        <v>0</v>
      </c>
      <c r="G24" s="241" t="str">
        <f t="shared" si="1"/>
        <v/>
      </c>
      <c r="H24" s="163" t="str">
        <f t="shared" si="2"/>
        <v/>
      </c>
      <c r="I24" s="120" t="str">
        <f t="shared" si="14"/>
        <v/>
      </c>
      <c r="J24" s="121" t="str">
        <f t="shared" si="15"/>
        <v/>
      </c>
      <c r="K24" s="121" t="str">
        <f t="shared" si="3"/>
        <v/>
      </c>
      <c r="L24" s="222" t="e">
        <f t="shared" si="16"/>
        <v>#VALUE!</v>
      </c>
      <c r="M24" s="121" t="str">
        <f t="shared" si="4"/>
        <v/>
      </c>
      <c r="N24" s="221" t="str">
        <f t="shared" si="5"/>
        <v/>
      </c>
      <c r="O24" s="122">
        <f>IF(E24="",0,IF(F23-SUM($L$20:L23)-K_U_P*B23&lt;=I_prog,1,2))</f>
        <v>0</v>
      </c>
      <c r="P24" s="122" t="str">
        <f>IF(E24="","",IF(F23-SUM($L$20:L23)-K_U_P*B23&lt;=I_prog,ROUND(I_proc*ROUND((E24-L24-K_U_P),0)-kwota_wolna-N24,0),ROUND(II_proc*ROUND((E24-L24-K_U_P),0)-N24,0)))</f>
        <v/>
      </c>
      <c r="Q24" s="124" t="str">
        <f t="shared" si="17"/>
        <v/>
      </c>
      <c r="R24" s="189" t="str">
        <f t="shared" si="6"/>
        <v/>
      </c>
      <c r="S24" s="166" t="str">
        <f t="shared" si="7"/>
        <v/>
      </c>
      <c r="T24" s="167" t="str">
        <f t="shared" si="8"/>
        <v/>
      </c>
      <c r="U24" s="167" t="str">
        <f t="shared" si="9"/>
        <v/>
      </c>
      <c r="V24" s="223" t="e">
        <f t="shared" si="18"/>
        <v>#VALUE!</v>
      </c>
      <c r="W24" s="167" t="str">
        <f t="shared" si="10"/>
        <v/>
      </c>
      <c r="X24" s="167" t="str">
        <f t="shared" si="11"/>
        <v/>
      </c>
      <c r="Y24" s="191" t="str">
        <f t="shared" si="12"/>
        <v/>
      </c>
      <c r="Z24" s="111"/>
    </row>
    <row r="25" spans="2:26" ht="15" customHeight="1">
      <c r="B25" s="81">
        <v>6</v>
      </c>
      <c r="C25" s="81">
        <f t="shared" si="13"/>
        <v>0</v>
      </c>
      <c r="D25" s="207" t="s">
        <v>57</v>
      </c>
      <c r="E25" s="234" t="str">
        <f t="shared" si="0"/>
        <v/>
      </c>
      <c r="F25" s="107">
        <f>SUM($E$20:E25)</f>
        <v>0</v>
      </c>
      <c r="G25" s="241" t="str">
        <f t="shared" si="1"/>
        <v/>
      </c>
      <c r="H25" s="163" t="str">
        <f t="shared" si="2"/>
        <v/>
      </c>
      <c r="I25" s="120" t="str">
        <f t="shared" si="14"/>
        <v/>
      </c>
      <c r="J25" s="121" t="str">
        <f t="shared" si="15"/>
        <v/>
      </c>
      <c r="K25" s="121" t="str">
        <f t="shared" si="3"/>
        <v/>
      </c>
      <c r="L25" s="222" t="e">
        <f t="shared" si="16"/>
        <v>#VALUE!</v>
      </c>
      <c r="M25" s="121" t="str">
        <f t="shared" si="4"/>
        <v/>
      </c>
      <c r="N25" s="221" t="str">
        <f t="shared" si="5"/>
        <v/>
      </c>
      <c r="O25" s="122">
        <f>IF(E25="",0,IF(F24-SUM($L$20:L24)-K_U_P*B24&lt;=I_prog,1,2))</f>
        <v>0</v>
      </c>
      <c r="P25" s="122" t="str">
        <f>IF(E25="","",IF(F24-SUM($L$20:L24)-K_U_P*B24&lt;=I_prog,ROUND(I_proc*ROUND((E25-L25-K_U_P),0)-kwota_wolna-N25,0),ROUND(II_proc*ROUND((E25-L25-K_U_P),0)-N25,0)))</f>
        <v/>
      </c>
      <c r="Q25" s="124" t="str">
        <f t="shared" si="17"/>
        <v/>
      </c>
      <c r="R25" s="189" t="str">
        <f t="shared" si="6"/>
        <v/>
      </c>
      <c r="S25" s="166" t="str">
        <f t="shared" si="7"/>
        <v/>
      </c>
      <c r="T25" s="167" t="str">
        <f t="shared" si="8"/>
        <v/>
      </c>
      <c r="U25" s="167" t="str">
        <f t="shared" si="9"/>
        <v/>
      </c>
      <c r="V25" s="223" t="e">
        <f t="shared" si="18"/>
        <v>#VALUE!</v>
      </c>
      <c r="W25" s="167" t="str">
        <f t="shared" si="10"/>
        <v/>
      </c>
      <c r="X25" s="167" t="str">
        <f t="shared" si="11"/>
        <v/>
      </c>
      <c r="Y25" s="191" t="str">
        <f t="shared" si="12"/>
        <v/>
      </c>
      <c r="Z25" s="111"/>
    </row>
    <row r="26" spans="2:26" ht="15" customHeight="1">
      <c r="B26" s="81">
        <v>7</v>
      </c>
      <c r="C26" s="81">
        <f t="shared" si="13"/>
        <v>0</v>
      </c>
      <c r="D26" s="207" t="s">
        <v>58</v>
      </c>
      <c r="E26" s="234" t="str">
        <f t="shared" si="0"/>
        <v/>
      </c>
      <c r="F26" s="107">
        <f>SUM($E$20:E26)</f>
        <v>0</v>
      </c>
      <c r="G26" s="241" t="str">
        <f t="shared" si="1"/>
        <v/>
      </c>
      <c r="H26" s="163" t="str">
        <f t="shared" si="2"/>
        <v/>
      </c>
      <c r="I26" s="120" t="str">
        <f t="shared" si="14"/>
        <v/>
      </c>
      <c r="J26" s="121" t="str">
        <f t="shared" si="15"/>
        <v/>
      </c>
      <c r="K26" s="121" t="str">
        <f t="shared" si="3"/>
        <v/>
      </c>
      <c r="L26" s="222" t="e">
        <f t="shared" si="16"/>
        <v>#VALUE!</v>
      </c>
      <c r="M26" s="121" t="str">
        <f t="shared" si="4"/>
        <v/>
      </c>
      <c r="N26" s="221" t="str">
        <f t="shared" si="5"/>
        <v/>
      </c>
      <c r="O26" s="122">
        <f>IF(E26="",0,IF(F25-SUM($L$20:L25)-K_U_P*B25&lt;=I_prog,1,2))</f>
        <v>0</v>
      </c>
      <c r="P26" s="122" t="str">
        <f>IF(E26="","",IF(F25-SUM($L$20:L25)-K_U_P*B25&lt;=I_prog,ROUND(I_proc*ROUND((E26-L26-K_U_P),0)-kwota_wolna-N26,0),ROUND(II_proc*ROUND((E26-L26-K_U_P),0)-N26,0)))</f>
        <v/>
      </c>
      <c r="Q26" s="124" t="str">
        <f t="shared" si="17"/>
        <v/>
      </c>
      <c r="R26" s="189" t="str">
        <f t="shared" si="6"/>
        <v/>
      </c>
      <c r="S26" s="166" t="str">
        <f t="shared" si="7"/>
        <v/>
      </c>
      <c r="T26" s="167" t="str">
        <f t="shared" si="8"/>
        <v/>
      </c>
      <c r="U26" s="167" t="str">
        <f t="shared" si="9"/>
        <v/>
      </c>
      <c r="V26" s="223" t="e">
        <f t="shared" si="18"/>
        <v>#VALUE!</v>
      </c>
      <c r="W26" s="167" t="str">
        <f t="shared" si="10"/>
        <v/>
      </c>
      <c r="X26" s="167" t="str">
        <f t="shared" si="11"/>
        <v/>
      </c>
      <c r="Y26" s="191" t="str">
        <f t="shared" si="12"/>
        <v/>
      </c>
      <c r="Z26" s="111"/>
    </row>
    <row r="27" spans="2:26" ht="15" customHeight="1">
      <c r="B27" s="81">
        <v>8</v>
      </c>
      <c r="C27" s="81">
        <f t="shared" si="13"/>
        <v>0</v>
      </c>
      <c r="D27" s="207" t="s">
        <v>59</v>
      </c>
      <c r="E27" s="234" t="str">
        <f t="shared" si="0"/>
        <v/>
      </c>
      <c r="F27" s="107">
        <f>SUM($E$20:E27)</f>
        <v>0</v>
      </c>
      <c r="G27" s="241" t="str">
        <f t="shared" si="1"/>
        <v/>
      </c>
      <c r="H27" s="163" t="str">
        <f t="shared" si="2"/>
        <v/>
      </c>
      <c r="I27" s="120" t="str">
        <f t="shared" si="14"/>
        <v/>
      </c>
      <c r="J27" s="121" t="str">
        <f t="shared" si="15"/>
        <v/>
      </c>
      <c r="K27" s="121" t="str">
        <f t="shared" si="3"/>
        <v/>
      </c>
      <c r="L27" s="222" t="e">
        <f t="shared" si="16"/>
        <v>#VALUE!</v>
      </c>
      <c r="M27" s="121" t="str">
        <f t="shared" si="4"/>
        <v/>
      </c>
      <c r="N27" s="221" t="str">
        <f t="shared" si="5"/>
        <v/>
      </c>
      <c r="O27" s="122">
        <f>IF(E27="",0,IF(F26-SUM($L$20:L26)-K_U_P*B26&lt;=I_prog,1,2))</f>
        <v>0</v>
      </c>
      <c r="P27" s="122" t="str">
        <f>IF(E27="","",IF(F26-SUM($L$20:L26)-K_U_P*B26&lt;=I_prog,ROUND(I_proc*ROUND((E27-L27-K_U_P),0)-kwota_wolna-N27,0),ROUND(II_proc*ROUND((E27-L27-K_U_P),0)-N27,0)))</f>
        <v/>
      </c>
      <c r="Q27" s="124" t="str">
        <f t="shared" si="17"/>
        <v/>
      </c>
      <c r="R27" s="189" t="str">
        <f t="shared" si="6"/>
        <v/>
      </c>
      <c r="S27" s="166" t="str">
        <f t="shared" si="7"/>
        <v/>
      </c>
      <c r="T27" s="167" t="str">
        <f t="shared" si="8"/>
        <v/>
      </c>
      <c r="U27" s="167" t="str">
        <f t="shared" si="9"/>
        <v/>
      </c>
      <c r="V27" s="223" t="e">
        <f t="shared" si="18"/>
        <v>#VALUE!</v>
      </c>
      <c r="W27" s="167" t="str">
        <f t="shared" si="10"/>
        <v/>
      </c>
      <c r="X27" s="167" t="str">
        <f t="shared" si="11"/>
        <v/>
      </c>
      <c r="Y27" s="191" t="str">
        <f t="shared" si="12"/>
        <v/>
      </c>
      <c r="Z27" s="111"/>
    </row>
    <row r="28" spans="2:26" ht="15" customHeight="1">
      <c r="B28" s="81">
        <v>9</v>
      </c>
      <c r="C28" s="81">
        <f t="shared" si="13"/>
        <v>0</v>
      </c>
      <c r="D28" s="207" t="s">
        <v>60</v>
      </c>
      <c r="E28" s="234" t="str">
        <f t="shared" si="0"/>
        <v/>
      </c>
      <c r="F28" s="107">
        <f>SUM($E$20:E28)</f>
        <v>0</v>
      </c>
      <c r="G28" s="241" t="str">
        <f t="shared" si="1"/>
        <v/>
      </c>
      <c r="H28" s="163" t="str">
        <f t="shared" si="2"/>
        <v/>
      </c>
      <c r="I28" s="120" t="str">
        <f t="shared" si="14"/>
        <v/>
      </c>
      <c r="J28" s="121" t="str">
        <f t="shared" si="15"/>
        <v/>
      </c>
      <c r="K28" s="121" t="str">
        <f t="shared" si="3"/>
        <v/>
      </c>
      <c r="L28" s="222" t="e">
        <f t="shared" si="16"/>
        <v>#VALUE!</v>
      </c>
      <c r="M28" s="121" t="str">
        <f t="shared" si="4"/>
        <v/>
      </c>
      <c r="N28" s="221" t="str">
        <f t="shared" si="5"/>
        <v/>
      </c>
      <c r="O28" s="122">
        <f>IF(E28="",0,IF(F27-SUM($L$20:L27)-K_U_P*B27&lt;=I_prog,1,2))</f>
        <v>0</v>
      </c>
      <c r="P28" s="122" t="str">
        <f>IF(E28="","",IF(F27-SUM($L$20:L27)-K_U_P*B27&lt;=I_prog,ROUND(I_proc*ROUND((E28-L28-K_U_P),0)-kwota_wolna-N28,0),ROUND(II_proc*ROUND((E28-L28-K_U_P),0)-N28,0)))</f>
        <v/>
      </c>
      <c r="Q28" s="124" t="str">
        <f t="shared" si="17"/>
        <v/>
      </c>
      <c r="R28" s="189" t="str">
        <f t="shared" si="6"/>
        <v/>
      </c>
      <c r="S28" s="166" t="str">
        <f t="shared" si="7"/>
        <v/>
      </c>
      <c r="T28" s="167" t="str">
        <f t="shared" si="8"/>
        <v/>
      </c>
      <c r="U28" s="167" t="str">
        <f t="shared" si="9"/>
        <v/>
      </c>
      <c r="V28" s="223" t="e">
        <f t="shared" si="18"/>
        <v>#VALUE!</v>
      </c>
      <c r="W28" s="167" t="str">
        <f t="shared" si="10"/>
        <v/>
      </c>
      <c r="X28" s="167" t="str">
        <f t="shared" si="11"/>
        <v/>
      </c>
      <c r="Y28" s="191" t="str">
        <f t="shared" si="12"/>
        <v/>
      </c>
      <c r="Z28" s="111"/>
    </row>
    <row r="29" spans="2:26" ht="15" customHeight="1">
      <c r="B29" s="81">
        <v>10</v>
      </c>
      <c r="C29" s="81">
        <f t="shared" si="13"/>
        <v>0</v>
      </c>
      <c r="D29" s="207" t="s">
        <v>61</v>
      </c>
      <c r="E29" s="234" t="str">
        <f t="shared" si="0"/>
        <v/>
      </c>
      <c r="F29" s="107">
        <f>SUM($E$20:E29)</f>
        <v>0</v>
      </c>
      <c r="G29" s="241" t="str">
        <f t="shared" si="1"/>
        <v/>
      </c>
      <c r="H29" s="163" t="str">
        <f t="shared" si="2"/>
        <v/>
      </c>
      <c r="I29" s="120" t="str">
        <f t="shared" si="14"/>
        <v/>
      </c>
      <c r="J29" s="121" t="str">
        <f t="shared" si="15"/>
        <v/>
      </c>
      <c r="K29" s="121" t="str">
        <f t="shared" si="3"/>
        <v/>
      </c>
      <c r="L29" s="222" t="e">
        <f t="shared" si="16"/>
        <v>#VALUE!</v>
      </c>
      <c r="M29" s="121" t="str">
        <f t="shared" si="4"/>
        <v/>
      </c>
      <c r="N29" s="221" t="str">
        <f t="shared" si="5"/>
        <v/>
      </c>
      <c r="O29" s="122">
        <f>IF(E29="",0,IF(F28-SUM($L$20:L28)-K_U_P*B28&lt;=I_prog,1,2))</f>
        <v>0</v>
      </c>
      <c r="P29" s="122" t="str">
        <f>IF(E29="","",IF(F28-SUM($L$20:L28)-K_U_P*B28&lt;=I_prog,ROUND(I_proc*ROUND((E29-L29-K_U_P),0)-kwota_wolna-N29,0),ROUND(II_proc*ROUND((E29-L29-K_U_P),0)-N29,0)))</f>
        <v/>
      </c>
      <c r="Q29" s="124" t="str">
        <f t="shared" si="17"/>
        <v/>
      </c>
      <c r="R29" s="189" t="str">
        <f t="shared" si="6"/>
        <v/>
      </c>
      <c r="S29" s="166" t="str">
        <f t="shared" si="7"/>
        <v/>
      </c>
      <c r="T29" s="167" t="str">
        <f t="shared" si="8"/>
        <v/>
      </c>
      <c r="U29" s="167" t="str">
        <f t="shared" si="9"/>
        <v/>
      </c>
      <c r="V29" s="223" t="e">
        <f t="shared" si="18"/>
        <v>#VALUE!</v>
      </c>
      <c r="W29" s="167" t="str">
        <f t="shared" si="10"/>
        <v/>
      </c>
      <c r="X29" s="167" t="str">
        <f t="shared" si="11"/>
        <v/>
      </c>
      <c r="Y29" s="191" t="str">
        <f t="shared" si="12"/>
        <v/>
      </c>
      <c r="Z29" s="111"/>
    </row>
    <row r="30" spans="2:26" ht="15" customHeight="1">
      <c r="B30" s="81">
        <v>11</v>
      </c>
      <c r="C30" s="81">
        <f t="shared" si="13"/>
        <v>0</v>
      </c>
      <c r="D30" s="207" t="s">
        <v>62</v>
      </c>
      <c r="E30" s="234" t="str">
        <f t="shared" si="0"/>
        <v/>
      </c>
      <c r="F30" s="107">
        <f>SUM($E$20:E30)</f>
        <v>0</v>
      </c>
      <c r="G30" s="241" t="str">
        <f t="shared" si="1"/>
        <v/>
      </c>
      <c r="H30" s="163" t="str">
        <f t="shared" si="2"/>
        <v/>
      </c>
      <c r="I30" s="120" t="str">
        <f t="shared" si="14"/>
        <v/>
      </c>
      <c r="J30" s="121" t="str">
        <f t="shared" si="15"/>
        <v/>
      </c>
      <c r="K30" s="121" t="str">
        <f t="shared" si="3"/>
        <v/>
      </c>
      <c r="L30" s="222" t="e">
        <f t="shared" si="16"/>
        <v>#VALUE!</v>
      </c>
      <c r="M30" s="121" t="str">
        <f t="shared" si="4"/>
        <v/>
      </c>
      <c r="N30" s="221" t="str">
        <f t="shared" si="5"/>
        <v/>
      </c>
      <c r="O30" s="122">
        <f>IF(E30="",0,IF(F29-SUM($L$20:L29)-K_U_P*B29&lt;=I_prog,1,2))</f>
        <v>0</v>
      </c>
      <c r="P30" s="122" t="str">
        <f>IF(E30="","",IF(F29-SUM($L$20:L29)-K_U_P*B29&lt;=I_prog,ROUND(I_proc*ROUND((E30-L30-K_U_P),0)-kwota_wolna-N30,0),ROUND(II_proc*ROUND((E30-L30-K_U_P),0)-N30,0)))</f>
        <v/>
      </c>
      <c r="Q30" s="124" t="str">
        <f t="shared" si="17"/>
        <v/>
      </c>
      <c r="R30" s="189" t="str">
        <f t="shared" si="6"/>
        <v/>
      </c>
      <c r="S30" s="166" t="str">
        <f t="shared" si="7"/>
        <v/>
      </c>
      <c r="T30" s="167" t="str">
        <f t="shared" si="8"/>
        <v/>
      </c>
      <c r="U30" s="167" t="str">
        <f t="shared" si="9"/>
        <v/>
      </c>
      <c r="V30" s="223" t="e">
        <f t="shared" si="18"/>
        <v>#VALUE!</v>
      </c>
      <c r="W30" s="167" t="str">
        <f t="shared" si="10"/>
        <v/>
      </c>
      <c r="X30" s="167" t="str">
        <f t="shared" si="11"/>
        <v/>
      </c>
      <c r="Y30" s="191" t="str">
        <f t="shared" si="12"/>
        <v/>
      </c>
      <c r="Z30" s="111"/>
    </row>
    <row r="31" spans="2:26" ht="15" customHeight="1" thickBot="1">
      <c r="B31" s="81">
        <v>12</v>
      </c>
      <c r="C31" s="81">
        <f t="shared" si="13"/>
        <v>0</v>
      </c>
      <c r="D31" s="207" t="s">
        <v>63</v>
      </c>
      <c r="E31" s="235" t="str">
        <f t="shared" si="0"/>
        <v/>
      </c>
      <c r="F31" s="112">
        <f>SUM($E$20:E31)</f>
        <v>0</v>
      </c>
      <c r="G31" s="241" t="str">
        <f t="shared" si="1"/>
        <v/>
      </c>
      <c r="H31" s="163" t="str">
        <f t="shared" si="2"/>
        <v/>
      </c>
      <c r="I31" s="120" t="str">
        <f t="shared" si="14"/>
        <v/>
      </c>
      <c r="J31" s="121" t="str">
        <f t="shared" si="15"/>
        <v/>
      </c>
      <c r="K31" s="121" t="str">
        <f t="shared" si="3"/>
        <v/>
      </c>
      <c r="L31" s="222" t="e">
        <f t="shared" si="16"/>
        <v>#VALUE!</v>
      </c>
      <c r="M31" s="121" t="str">
        <f t="shared" si="4"/>
        <v/>
      </c>
      <c r="N31" s="221" t="str">
        <f t="shared" si="5"/>
        <v/>
      </c>
      <c r="O31" s="122">
        <f>IF(E31="",0,IF(F30-SUM($L$20:L30)-K_U_P*B30&lt;=I_prog,1,2))</f>
        <v>0</v>
      </c>
      <c r="P31" s="122" t="str">
        <f>IF(E31="","",IF(F30-SUM($L$20:L30)-K_U_P*B30&lt;=I_prog,ROUND(I_proc*ROUND((E31-L31-K_U_P),0)-kwota_wolna-N31,0),ROUND(II_proc*ROUND((E31-L31-K_U_P),0)-N31,0)))</f>
        <v/>
      </c>
      <c r="Q31" s="124" t="str">
        <f t="shared" si="17"/>
        <v/>
      </c>
      <c r="R31" s="189" t="str">
        <f t="shared" si="6"/>
        <v/>
      </c>
      <c r="S31" s="168" t="str">
        <f t="shared" si="7"/>
        <v/>
      </c>
      <c r="T31" s="167" t="str">
        <f t="shared" si="8"/>
        <v/>
      </c>
      <c r="U31" s="167" t="str">
        <f t="shared" si="9"/>
        <v/>
      </c>
      <c r="V31" s="223" t="e">
        <f t="shared" si="18"/>
        <v>#VALUE!</v>
      </c>
      <c r="W31" s="167" t="str">
        <f t="shared" si="10"/>
        <v/>
      </c>
      <c r="X31" s="167" t="str">
        <f t="shared" si="11"/>
        <v/>
      </c>
      <c r="Y31" s="191" t="str">
        <f t="shared" si="12"/>
        <v/>
      </c>
      <c r="Z31" s="111"/>
    </row>
    <row r="32" spans="2:26" s="118" customFormat="1" ht="15" customHeight="1" thickTop="1" thickBot="1">
      <c r="B32" s="81"/>
      <c r="C32" s="81">
        <f>SUM(C20:C31)</f>
        <v>0</v>
      </c>
      <c r="D32" s="113" t="s">
        <v>42</v>
      </c>
      <c r="E32" s="236" t="str">
        <f t="shared" ref="E32:Y32" si="19">IF(OR(MIN($E$20:$E$31)&lt;MWZP,$C$32&lt;12),"",SUM(E20:E31))</f>
        <v/>
      </c>
      <c r="F32" s="114" t="str">
        <f t="shared" si="19"/>
        <v/>
      </c>
      <c r="G32" s="162" t="str">
        <f t="shared" si="19"/>
        <v/>
      </c>
      <c r="H32" s="164" t="str">
        <f t="shared" si="19"/>
        <v/>
      </c>
      <c r="I32" s="125" t="str">
        <f t="shared" si="19"/>
        <v/>
      </c>
      <c r="J32" s="126" t="str">
        <f t="shared" si="19"/>
        <v/>
      </c>
      <c r="K32" s="126" t="str">
        <f t="shared" si="19"/>
        <v/>
      </c>
      <c r="L32" s="127" t="str">
        <f t="shared" si="19"/>
        <v/>
      </c>
      <c r="M32" s="126" t="str">
        <f t="shared" si="19"/>
        <v/>
      </c>
      <c r="N32" s="127" t="str">
        <f t="shared" si="19"/>
        <v/>
      </c>
      <c r="O32" s="128" t="str">
        <f t="shared" si="19"/>
        <v/>
      </c>
      <c r="P32" s="128"/>
      <c r="Q32" s="129" t="str">
        <f t="shared" si="19"/>
        <v/>
      </c>
      <c r="R32" s="190" t="str">
        <f t="shared" si="19"/>
        <v/>
      </c>
      <c r="S32" s="169" t="str">
        <f t="shared" si="19"/>
        <v/>
      </c>
      <c r="T32" s="170" t="str">
        <f t="shared" si="19"/>
        <v/>
      </c>
      <c r="U32" s="170" t="str">
        <f t="shared" si="19"/>
        <v/>
      </c>
      <c r="V32" s="171" t="str">
        <f t="shared" si="19"/>
        <v/>
      </c>
      <c r="W32" s="170" t="str">
        <f t="shared" si="19"/>
        <v/>
      </c>
      <c r="X32" s="170" t="str">
        <f t="shared" si="19"/>
        <v/>
      </c>
      <c r="Y32" s="192" t="str">
        <f t="shared" si="19"/>
        <v/>
      </c>
    </row>
    <row r="33" spans="7:25" ht="6" customHeight="1"/>
    <row r="34" spans="7:25" ht="15">
      <c r="G34" s="292" t="str">
        <f>IF(E32="","",IF($O$31&gt;=1,"I próg podatkowy",""))</f>
        <v/>
      </c>
      <c r="H34" s="292"/>
      <c r="M34" s="210" t="s">
        <v>209</v>
      </c>
      <c r="Q34" s="293" t="str">
        <f>IF(OR(MIN(E20:E31)&lt;MWZP,$C$32&lt;12),"",(H32-G32)/H32)</f>
        <v/>
      </c>
      <c r="R34" s="293"/>
      <c r="S34" s="119"/>
      <c r="T34" s="119"/>
    </row>
    <row r="35" spans="7:25">
      <c r="G35" s="292" t="str">
        <f>IF(E32="","",IF($O$31&gt;=2,"II próg podatkowy",""))</f>
        <v/>
      </c>
      <c r="H35" s="292"/>
      <c r="M35" s="212" t="s">
        <v>210</v>
      </c>
      <c r="Q35" s="293" t="str">
        <f>IF(OR(MIN(E20:E31)&lt;MWZP,$C$32&lt;12),"",H32/G32)</f>
        <v/>
      </c>
      <c r="R35" s="293"/>
      <c r="S35" s="119"/>
      <c r="T35" s="119"/>
    </row>
    <row r="37" spans="7:25">
      <c r="G37" s="288"/>
      <c r="H37" s="288"/>
    </row>
    <row r="39" spans="7:25">
      <c r="S39" s="80"/>
      <c r="T39" s="80"/>
      <c r="U39" s="80"/>
      <c r="V39" s="80"/>
      <c r="W39" s="80"/>
      <c r="X39" s="80"/>
      <c r="Y39" s="80"/>
    </row>
    <row r="42" spans="7:25">
      <c r="S42" s="80"/>
      <c r="T42" s="80"/>
      <c r="U42" s="80"/>
      <c r="V42" s="80"/>
      <c r="W42" s="80"/>
      <c r="X42" s="80"/>
      <c r="Y42" s="80"/>
    </row>
    <row r="43" spans="7:25">
      <c r="S43" s="80"/>
      <c r="T43" s="80"/>
      <c r="U43" s="80"/>
      <c r="V43" s="80"/>
      <c r="W43" s="80"/>
      <c r="X43" s="80"/>
      <c r="Y43" s="80"/>
    </row>
    <row r="44" spans="7:25">
      <c r="S44" s="80"/>
      <c r="T44" s="80"/>
      <c r="U44" s="80"/>
      <c r="V44" s="80"/>
      <c r="W44" s="80"/>
      <c r="X44" s="80"/>
      <c r="Y44" s="80"/>
    </row>
    <row r="45" spans="7:25">
      <c r="S45" s="80"/>
      <c r="T45" s="80"/>
      <c r="U45" s="80"/>
      <c r="V45" s="80"/>
      <c r="W45" s="80"/>
      <c r="X45" s="80"/>
      <c r="Y45" s="80"/>
    </row>
    <row r="46" spans="7:25">
      <c r="S46" s="80"/>
      <c r="T46" s="80"/>
      <c r="U46" s="80"/>
      <c r="V46" s="80"/>
      <c r="W46" s="80"/>
      <c r="X46" s="80"/>
      <c r="Y46" s="80"/>
    </row>
    <row r="47" spans="7:25">
      <c r="S47" s="80"/>
      <c r="T47" s="80"/>
      <c r="U47" s="80"/>
      <c r="V47" s="80"/>
      <c r="W47" s="80"/>
      <c r="X47" s="80"/>
      <c r="Y47" s="80"/>
    </row>
    <row r="48" spans="7:25">
      <c r="S48" s="80"/>
      <c r="T48" s="80"/>
      <c r="U48" s="80"/>
      <c r="V48" s="80"/>
      <c r="W48" s="80"/>
      <c r="X48" s="80"/>
      <c r="Y48" s="80"/>
    </row>
    <row r="49" spans="5:25">
      <c r="S49" s="80"/>
      <c r="T49" s="80"/>
      <c r="U49" s="80"/>
      <c r="V49" s="80"/>
      <c r="W49" s="80"/>
      <c r="X49" s="80"/>
      <c r="Y49" s="80"/>
    </row>
    <row r="50" spans="5:25">
      <c r="S50" s="80"/>
      <c r="T50" s="80"/>
      <c r="U50" s="80"/>
      <c r="V50" s="80"/>
      <c r="W50" s="80"/>
      <c r="X50" s="80"/>
      <c r="Y50" s="80"/>
    </row>
    <row r="51" spans="5:25">
      <c r="S51" s="80"/>
      <c r="T51" s="80"/>
      <c r="U51" s="80"/>
      <c r="V51" s="80"/>
      <c r="W51" s="80"/>
      <c r="X51" s="80"/>
      <c r="Y51" s="80"/>
    </row>
    <row r="52" spans="5:25">
      <c r="S52" s="80"/>
      <c r="T52" s="80"/>
      <c r="U52" s="80"/>
      <c r="V52" s="80"/>
      <c r="W52" s="80"/>
      <c r="X52" s="80"/>
      <c r="Y52" s="80"/>
    </row>
    <row r="53" spans="5:25">
      <c r="S53" s="80"/>
      <c r="T53" s="80"/>
      <c r="U53" s="80"/>
      <c r="V53" s="80"/>
      <c r="W53" s="80"/>
      <c r="X53" s="80"/>
      <c r="Y53" s="80"/>
    </row>
    <row r="54" spans="5:25">
      <c r="S54" s="80"/>
      <c r="T54" s="80"/>
      <c r="U54" s="80"/>
      <c r="V54" s="80"/>
      <c r="W54" s="80"/>
      <c r="X54" s="80"/>
      <c r="Y54" s="80"/>
    </row>
    <row r="55" spans="5:25">
      <c r="S55" s="80"/>
      <c r="T55" s="80"/>
      <c r="U55" s="80"/>
      <c r="V55" s="80"/>
      <c r="W55" s="80"/>
      <c r="X55" s="80"/>
      <c r="Y55" s="80"/>
    </row>
    <row r="56" spans="5:25">
      <c r="S56" s="80"/>
      <c r="T56" s="80"/>
      <c r="U56" s="80"/>
      <c r="V56" s="80"/>
      <c r="W56" s="80"/>
      <c r="X56" s="80"/>
      <c r="Y56" s="80"/>
    </row>
    <row r="57" spans="5:25">
      <c r="S57" s="80"/>
      <c r="T57" s="80"/>
      <c r="U57" s="80"/>
      <c r="V57" s="80"/>
      <c r="W57" s="80"/>
      <c r="X57" s="80"/>
      <c r="Y57" s="80"/>
    </row>
    <row r="58" spans="5:25">
      <c r="S58" s="80"/>
      <c r="T58" s="80"/>
      <c r="U58" s="80"/>
      <c r="V58" s="80"/>
      <c r="W58" s="80"/>
      <c r="X58" s="80"/>
      <c r="Y58" s="80"/>
    </row>
    <row r="59" spans="5:25">
      <c r="S59" s="80"/>
      <c r="T59" s="80"/>
      <c r="U59" s="80"/>
      <c r="V59" s="80"/>
      <c r="W59" s="80"/>
      <c r="X59" s="80"/>
      <c r="Y59" s="80"/>
    </row>
    <row r="60" spans="5:25">
      <c r="S60" s="80"/>
      <c r="T60" s="80"/>
      <c r="U60" s="80"/>
      <c r="V60" s="80"/>
      <c r="W60" s="80"/>
      <c r="X60" s="80"/>
      <c r="Y60" s="80"/>
    </row>
    <row r="61" spans="5:25">
      <c r="S61" s="80"/>
      <c r="T61" s="80"/>
      <c r="U61" s="80"/>
      <c r="V61" s="80"/>
      <c r="W61" s="80"/>
      <c r="X61" s="80"/>
      <c r="Y61" s="80"/>
    </row>
    <row r="62" spans="5:25">
      <c r="S62" s="80"/>
      <c r="T62" s="80"/>
      <c r="U62" s="80"/>
      <c r="V62" s="80"/>
      <c r="W62" s="80"/>
      <c r="X62" s="80"/>
      <c r="Y62" s="80"/>
    </row>
    <row r="63" spans="5:25">
      <c r="E63" s="159" t="s">
        <v>68</v>
      </c>
      <c r="S63" s="80"/>
      <c r="T63" s="80"/>
      <c r="U63" s="80"/>
      <c r="V63" s="80"/>
      <c r="W63" s="80"/>
      <c r="X63" s="80"/>
      <c r="Y63" s="80"/>
    </row>
    <row r="64" spans="5:25">
      <c r="S64" s="80"/>
      <c r="T64" s="80"/>
      <c r="U64" s="80"/>
      <c r="V64" s="80"/>
      <c r="W64" s="80"/>
      <c r="X64" s="80"/>
      <c r="Y64" s="80"/>
    </row>
    <row r="65" spans="5:25">
      <c r="E65" s="225" t="s">
        <v>213</v>
      </c>
      <c r="S65" s="80"/>
      <c r="T65" s="80"/>
      <c r="U65" s="80"/>
      <c r="V65" s="80"/>
      <c r="W65" s="80"/>
      <c r="X65" s="80"/>
      <c r="Y65" s="80"/>
    </row>
    <row r="66" spans="5:25">
      <c r="S66" s="80"/>
      <c r="T66" s="80"/>
      <c r="U66" s="80"/>
      <c r="V66" s="80"/>
      <c r="W66" s="80"/>
      <c r="X66" s="80"/>
      <c r="Y66" s="80"/>
    </row>
    <row r="67" spans="5:25">
      <c r="S67" s="80"/>
      <c r="T67" s="80"/>
      <c r="U67" s="80"/>
      <c r="V67" s="80"/>
      <c r="W67" s="80"/>
      <c r="X67" s="80"/>
      <c r="Y67" s="80"/>
    </row>
    <row r="68" spans="5:25">
      <c r="S68" s="80"/>
      <c r="T68" s="80"/>
      <c r="U68" s="80"/>
      <c r="V68" s="80"/>
      <c r="W68" s="80"/>
      <c r="X68" s="80"/>
      <c r="Y68" s="80"/>
    </row>
    <row r="69" spans="5:25">
      <c r="S69" s="80"/>
      <c r="T69" s="80"/>
      <c r="U69" s="80"/>
      <c r="V69" s="80"/>
      <c r="W69" s="80"/>
      <c r="X69" s="80"/>
      <c r="Y69" s="80"/>
    </row>
    <row r="70" spans="5:25">
      <c r="S70" s="80"/>
      <c r="T70" s="80"/>
      <c r="U70" s="80"/>
      <c r="V70" s="80"/>
      <c r="W70" s="80"/>
      <c r="X70" s="80"/>
      <c r="Y70" s="80"/>
    </row>
    <row r="71" spans="5:25">
      <c r="S71" s="80"/>
      <c r="T71" s="80"/>
      <c r="U71" s="80"/>
      <c r="V71" s="80"/>
      <c r="W71" s="80"/>
      <c r="X71" s="80"/>
      <c r="Y71" s="80"/>
    </row>
    <row r="72" spans="5:25">
      <c r="S72" s="80"/>
      <c r="T72" s="80"/>
      <c r="U72" s="80"/>
      <c r="V72" s="80"/>
      <c r="W72" s="80"/>
      <c r="X72" s="80"/>
      <c r="Y72" s="80"/>
    </row>
    <row r="73" spans="5:25">
      <c r="S73" s="80"/>
      <c r="T73" s="80"/>
      <c r="U73" s="80"/>
      <c r="V73" s="80"/>
      <c r="W73" s="80"/>
      <c r="X73" s="80"/>
      <c r="Y73" s="80"/>
    </row>
    <row r="74" spans="5:25">
      <c r="S74" s="80"/>
      <c r="T74" s="80"/>
      <c r="U74" s="80"/>
      <c r="V74" s="80"/>
      <c r="W74" s="80"/>
      <c r="X74" s="80"/>
      <c r="Y74" s="80"/>
    </row>
    <row r="75" spans="5:25">
      <c r="S75" s="80"/>
      <c r="T75" s="80"/>
      <c r="U75" s="80"/>
      <c r="V75" s="80"/>
      <c r="W75" s="80"/>
      <c r="X75" s="80"/>
      <c r="Y75" s="80"/>
    </row>
    <row r="76" spans="5:25">
      <c r="S76" s="80"/>
      <c r="T76" s="80"/>
      <c r="U76" s="80"/>
      <c r="V76" s="80"/>
      <c r="W76" s="80"/>
      <c r="X76" s="80"/>
      <c r="Y76" s="80"/>
    </row>
    <row r="77" spans="5:25">
      <c r="S77" s="80"/>
      <c r="T77" s="80"/>
      <c r="U77" s="80"/>
      <c r="V77" s="80"/>
      <c r="W77" s="80"/>
      <c r="X77" s="80"/>
      <c r="Y77" s="80"/>
    </row>
    <row r="78" spans="5:25">
      <c r="S78" s="80"/>
      <c r="T78" s="80"/>
      <c r="U78" s="80"/>
      <c r="V78" s="80"/>
      <c r="W78" s="80"/>
      <c r="X78" s="80"/>
      <c r="Y78" s="80"/>
    </row>
    <row r="79" spans="5:25">
      <c r="S79" s="80"/>
      <c r="T79" s="80"/>
      <c r="U79" s="80"/>
      <c r="V79" s="80"/>
      <c r="W79" s="80"/>
      <c r="X79" s="80"/>
      <c r="Y79" s="80"/>
    </row>
    <row r="80" spans="5:25">
      <c r="S80" s="80"/>
      <c r="T80" s="80"/>
      <c r="U80" s="80"/>
      <c r="V80" s="80"/>
      <c r="W80" s="80"/>
      <c r="X80" s="80"/>
      <c r="Y80" s="80"/>
    </row>
    <row r="81" spans="19:25">
      <c r="S81" s="80"/>
      <c r="T81" s="80"/>
      <c r="U81" s="80"/>
      <c r="V81" s="80"/>
      <c r="W81" s="80"/>
      <c r="X81" s="80"/>
      <c r="Y81" s="80"/>
    </row>
    <row r="82" spans="19:25">
      <c r="S82" s="80"/>
      <c r="T82" s="80"/>
      <c r="U82" s="80"/>
      <c r="V82" s="80"/>
      <c r="W82" s="80"/>
      <c r="X82" s="80"/>
      <c r="Y82" s="80"/>
    </row>
    <row r="83" spans="19:25">
      <c r="S83" s="80"/>
      <c r="T83" s="80"/>
      <c r="U83" s="80"/>
      <c r="V83" s="80"/>
      <c r="W83" s="80"/>
      <c r="X83" s="80"/>
      <c r="Y83" s="80"/>
    </row>
    <row r="84" spans="19:25">
      <c r="S84" s="80"/>
      <c r="T84" s="80"/>
      <c r="U84" s="80"/>
      <c r="V84" s="80"/>
      <c r="W84" s="80"/>
      <c r="X84" s="80"/>
      <c r="Y84" s="80"/>
    </row>
    <row r="85" spans="19:25">
      <c r="S85" s="80"/>
      <c r="T85" s="80"/>
      <c r="U85" s="80"/>
      <c r="V85" s="80"/>
      <c r="W85" s="80"/>
      <c r="X85" s="80"/>
      <c r="Y85" s="80"/>
    </row>
    <row r="86" spans="19:25">
      <c r="S86" s="80"/>
      <c r="T86" s="80"/>
      <c r="U86" s="80"/>
      <c r="V86" s="80"/>
      <c r="W86" s="80"/>
      <c r="X86" s="80"/>
      <c r="Y86" s="80"/>
    </row>
    <row r="87" spans="19:25">
      <c r="S87" s="80"/>
      <c r="T87" s="80"/>
      <c r="U87" s="80"/>
      <c r="V87" s="80"/>
      <c r="W87" s="80"/>
      <c r="X87" s="80"/>
      <c r="Y87" s="80"/>
    </row>
    <row r="88" spans="19:25">
      <c r="S88" s="80"/>
      <c r="T88" s="80"/>
      <c r="U88" s="80"/>
      <c r="V88" s="80"/>
      <c r="W88" s="80"/>
      <c r="X88" s="80"/>
      <c r="Y88" s="80"/>
    </row>
    <row r="89" spans="19:25">
      <c r="S89" s="80"/>
      <c r="T89" s="80"/>
      <c r="U89" s="80"/>
      <c r="V89" s="80"/>
      <c r="W89" s="80"/>
      <c r="X89" s="80"/>
      <c r="Y89" s="80"/>
    </row>
    <row r="90" spans="19:25">
      <c r="S90" s="80"/>
      <c r="T90" s="80"/>
      <c r="U90" s="80"/>
      <c r="V90" s="80"/>
      <c r="W90" s="80"/>
      <c r="X90" s="80"/>
      <c r="Y90" s="80"/>
    </row>
    <row r="91" spans="19:25">
      <c r="S91" s="80"/>
      <c r="T91" s="80"/>
      <c r="U91" s="80"/>
      <c r="V91" s="80"/>
      <c r="W91" s="80"/>
      <c r="X91" s="80"/>
      <c r="Y91" s="80"/>
    </row>
    <row r="92" spans="19:25">
      <c r="S92" s="80"/>
      <c r="T92" s="80"/>
      <c r="U92" s="80"/>
      <c r="V92" s="80"/>
      <c r="W92" s="80"/>
      <c r="X92" s="80"/>
      <c r="Y92" s="80"/>
    </row>
    <row r="93" spans="19:25">
      <c r="S93" s="80"/>
      <c r="T93" s="80"/>
      <c r="U93" s="80"/>
      <c r="V93" s="80"/>
      <c r="W93" s="80"/>
      <c r="X93" s="80"/>
      <c r="Y93" s="80"/>
    </row>
    <row r="94" spans="19:25">
      <c r="S94" s="80"/>
      <c r="T94" s="80"/>
      <c r="U94" s="80"/>
      <c r="V94" s="80"/>
      <c r="W94" s="80"/>
      <c r="X94" s="80"/>
      <c r="Y94" s="80"/>
    </row>
    <row r="95" spans="19:25">
      <c r="S95" s="80"/>
      <c r="T95" s="80"/>
      <c r="U95" s="80"/>
      <c r="V95" s="80"/>
      <c r="W95" s="80"/>
      <c r="X95" s="80"/>
      <c r="Y95" s="80"/>
    </row>
    <row r="96" spans="19:25">
      <c r="S96" s="80"/>
      <c r="T96" s="80"/>
      <c r="U96" s="80"/>
      <c r="V96" s="80"/>
      <c r="W96" s="80"/>
      <c r="X96" s="80"/>
      <c r="Y96" s="80"/>
    </row>
    <row r="97" spans="19:25">
      <c r="S97" s="80"/>
      <c r="T97" s="80"/>
      <c r="U97" s="80"/>
      <c r="V97" s="80"/>
      <c r="W97" s="80"/>
      <c r="X97" s="80"/>
      <c r="Y97" s="80"/>
    </row>
    <row r="98" spans="19:25">
      <c r="S98" s="80"/>
      <c r="T98" s="80"/>
      <c r="U98" s="80"/>
      <c r="V98" s="80"/>
      <c r="W98" s="80"/>
      <c r="X98" s="80"/>
      <c r="Y98" s="80"/>
    </row>
    <row r="99" spans="19:25">
      <c r="S99" s="80"/>
      <c r="T99" s="80"/>
      <c r="U99" s="80"/>
      <c r="V99" s="80"/>
      <c r="W99" s="80"/>
      <c r="X99" s="80"/>
      <c r="Y99" s="80"/>
    </row>
    <row r="100" spans="19:25">
      <c r="S100" s="80"/>
      <c r="T100" s="80"/>
      <c r="U100" s="80"/>
      <c r="V100" s="80"/>
      <c r="W100" s="80"/>
      <c r="X100" s="80"/>
      <c r="Y100" s="80"/>
    </row>
    <row r="101" spans="19:25">
      <c r="S101" s="80"/>
      <c r="T101" s="80"/>
      <c r="U101" s="80"/>
      <c r="V101" s="80"/>
      <c r="W101" s="80"/>
      <c r="X101" s="80"/>
      <c r="Y101" s="80"/>
    </row>
    <row r="102" spans="19:25">
      <c r="S102" s="80"/>
      <c r="T102" s="80"/>
      <c r="U102" s="80"/>
      <c r="V102" s="80"/>
      <c r="W102" s="80"/>
      <c r="X102" s="80"/>
      <c r="Y102" s="80"/>
    </row>
    <row r="103" spans="19:25">
      <c r="S103" s="80"/>
      <c r="T103" s="80"/>
      <c r="U103" s="80"/>
      <c r="V103" s="80"/>
      <c r="W103" s="80"/>
      <c r="X103" s="80"/>
      <c r="Y103" s="80"/>
    </row>
    <row r="104" spans="19:25">
      <c r="S104" s="80"/>
      <c r="T104" s="80"/>
      <c r="U104" s="80"/>
      <c r="V104" s="80"/>
      <c r="W104" s="80"/>
      <c r="X104" s="80"/>
      <c r="Y104" s="80"/>
    </row>
    <row r="105" spans="19:25">
      <c r="S105" s="80"/>
      <c r="T105" s="80"/>
      <c r="U105" s="80"/>
      <c r="V105" s="80"/>
      <c r="W105" s="80"/>
      <c r="X105" s="80"/>
      <c r="Y105" s="80"/>
    </row>
    <row r="106" spans="19:25">
      <c r="S106" s="80"/>
      <c r="T106" s="80"/>
      <c r="U106" s="80"/>
      <c r="V106" s="80"/>
      <c r="W106" s="80"/>
      <c r="X106" s="80"/>
      <c r="Y106" s="80"/>
    </row>
    <row r="107" spans="19:25">
      <c r="S107" s="80"/>
      <c r="T107" s="80"/>
      <c r="U107" s="80"/>
      <c r="V107" s="80"/>
      <c r="W107" s="80"/>
      <c r="X107" s="80"/>
      <c r="Y107" s="80"/>
    </row>
    <row r="108" spans="19:25">
      <c r="S108" s="80"/>
      <c r="T108" s="80"/>
      <c r="U108" s="80"/>
      <c r="V108" s="80"/>
      <c r="W108" s="80"/>
      <c r="X108" s="80"/>
      <c r="Y108" s="80"/>
    </row>
    <row r="109" spans="19:25">
      <c r="S109" s="80"/>
      <c r="T109" s="80"/>
      <c r="U109" s="80"/>
      <c r="V109" s="80"/>
      <c r="W109" s="80"/>
      <c r="X109" s="80"/>
      <c r="Y109" s="80"/>
    </row>
    <row r="110" spans="19:25">
      <c r="S110" s="80"/>
      <c r="T110" s="80"/>
      <c r="U110" s="80"/>
      <c r="V110" s="80"/>
      <c r="W110" s="80"/>
      <c r="X110" s="80"/>
      <c r="Y110" s="80"/>
    </row>
    <row r="111" spans="19:25">
      <c r="S111" s="80"/>
      <c r="T111" s="80"/>
      <c r="U111" s="80"/>
      <c r="V111" s="80"/>
      <c r="W111" s="80"/>
      <c r="X111" s="80"/>
      <c r="Y111" s="80"/>
    </row>
    <row r="112" spans="19:25">
      <c r="S112" s="80"/>
      <c r="T112" s="80"/>
      <c r="U112" s="80"/>
      <c r="V112" s="80"/>
      <c r="W112" s="80"/>
      <c r="X112" s="80"/>
      <c r="Y112" s="80"/>
    </row>
    <row r="113" spans="19:25">
      <c r="S113" s="80"/>
      <c r="T113" s="80"/>
      <c r="U113" s="80"/>
      <c r="V113" s="80"/>
      <c r="W113" s="80"/>
      <c r="X113" s="80"/>
      <c r="Y113" s="80"/>
    </row>
    <row r="114" spans="19:25">
      <c r="S114" s="80"/>
      <c r="T114" s="80"/>
      <c r="U114" s="80"/>
      <c r="V114" s="80"/>
      <c r="W114" s="80"/>
      <c r="X114" s="80"/>
      <c r="Y114" s="80"/>
    </row>
    <row r="115" spans="19:25">
      <c r="S115" s="80"/>
      <c r="T115" s="80"/>
      <c r="U115" s="80"/>
      <c r="V115" s="80"/>
      <c r="W115" s="80"/>
      <c r="X115" s="80"/>
      <c r="Y115" s="80"/>
    </row>
    <row r="116" spans="19:25">
      <c r="S116" s="80"/>
      <c r="T116" s="80"/>
      <c r="U116" s="80"/>
      <c r="V116" s="80"/>
      <c r="W116" s="80"/>
      <c r="X116" s="80"/>
      <c r="Y116" s="80"/>
    </row>
    <row r="117" spans="19:25">
      <c r="S117" s="80"/>
      <c r="T117" s="80"/>
      <c r="U117" s="80"/>
      <c r="V117" s="80"/>
      <c r="W117" s="80"/>
      <c r="X117" s="80"/>
      <c r="Y117" s="80"/>
    </row>
    <row r="118" spans="19:25">
      <c r="S118" s="80"/>
      <c r="T118" s="80"/>
      <c r="U118" s="80"/>
      <c r="V118" s="80"/>
      <c r="W118" s="80"/>
      <c r="X118" s="80"/>
      <c r="Y118" s="80"/>
    </row>
    <row r="119" spans="19:25">
      <c r="S119" s="80"/>
      <c r="T119" s="80"/>
      <c r="U119" s="80"/>
      <c r="V119" s="80"/>
      <c r="W119" s="80"/>
      <c r="X119" s="80"/>
      <c r="Y119" s="80"/>
    </row>
    <row r="120" spans="19:25">
      <c r="S120" s="80"/>
      <c r="T120" s="80"/>
      <c r="U120" s="80"/>
      <c r="V120" s="80"/>
      <c r="W120" s="80"/>
      <c r="X120" s="80"/>
      <c r="Y120" s="80"/>
    </row>
    <row r="121" spans="19:25">
      <c r="S121" s="80"/>
      <c r="T121" s="80"/>
      <c r="U121" s="80"/>
      <c r="V121" s="80"/>
      <c r="W121" s="80"/>
      <c r="X121" s="80"/>
      <c r="Y121" s="80"/>
    </row>
    <row r="122" spans="19:25">
      <c r="S122" s="80"/>
      <c r="T122" s="80"/>
      <c r="U122" s="80"/>
      <c r="V122" s="80"/>
      <c r="W122" s="80"/>
      <c r="X122" s="80"/>
      <c r="Y122" s="80"/>
    </row>
    <row r="123" spans="19:25">
      <c r="S123" s="80"/>
      <c r="T123" s="80"/>
      <c r="U123" s="80"/>
      <c r="V123" s="80"/>
      <c r="W123" s="80"/>
      <c r="X123" s="80"/>
      <c r="Y123" s="80"/>
    </row>
    <row r="124" spans="19:25">
      <c r="S124" s="80"/>
      <c r="T124" s="80"/>
      <c r="U124" s="80"/>
      <c r="V124" s="80"/>
      <c r="W124" s="80"/>
      <c r="X124" s="80"/>
      <c r="Y124" s="80"/>
    </row>
    <row r="125" spans="19:25">
      <c r="S125" s="80"/>
      <c r="T125" s="80"/>
      <c r="U125" s="80"/>
      <c r="V125" s="80"/>
      <c r="W125" s="80"/>
      <c r="X125" s="80"/>
      <c r="Y125" s="80"/>
    </row>
    <row r="126" spans="19:25">
      <c r="S126" s="80"/>
      <c r="T126" s="80"/>
      <c r="U126" s="80"/>
      <c r="V126" s="80"/>
      <c r="W126" s="80"/>
      <c r="X126" s="80"/>
      <c r="Y126" s="80"/>
    </row>
    <row r="127" spans="19:25">
      <c r="S127" s="80"/>
      <c r="T127" s="80"/>
      <c r="U127" s="80"/>
      <c r="V127" s="80"/>
      <c r="W127" s="80"/>
      <c r="X127" s="80"/>
      <c r="Y127" s="80"/>
    </row>
    <row r="128" spans="19:25">
      <c r="S128" s="80"/>
      <c r="T128" s="80"/>
      <c r="U128" s="80"/>
      <c r="V128" s="80"/>
      <c r="W128" s="80"/>
      <c r="X128" s="80"/>
      <c r="Y128" s="80"/>
    </row>
    <row r="129" spans="19:25">
      <c r="S129" s="80"/>
      <c r="T129" s="80"/>
      <c r="U129" s="80"/>
      <c r="V129" s="80"/>
      <c r="W129" s="80"/>
      <c r="X129" s="80"/>
      <c r="Y129" s="80"/>
    </row>
    <row r="130" spans="19:25">
      <c r="S130" s="80"/>
      <c r="T130" s="80"/>
      <c r="U130" s="80"/>
      <c r="V130" s="80"/>
      <c r="W130" s="80"/>
      <c r="X130" s="80"/>
      <c r="Y130" s="80"/>
    </row>
    <row r="131" spans="19:25">
      <c r="S131" s="80"/>
      <c r="T131" s="80"/>
      <c r="U131" s="80"/>
      <c r="V131" s="80"/>
      <c r="W131" s="80"/>
      <c r="X131" s="80"/>
      <c r="Y131" s="80"/>
    </row>
    <row r="132" spans="19:25">
      <c r="S132" s="80"/>
      <c r="T132" s="80"/>
      <c r="U132" s="80"/>
      <c r="V132" s="80"/>
      <c r="W132" s="80"/>
      <c r="X132" s="80"/>
      <c r="Y132" s="80"/>
    </row>
    <row r="133" spans="19:25">
      <c r="S133" s="80"/>
      <c r="T133" s="80"/>
      <c r="U133" s="80"/>
      <c r="V133" s="80"/>
      <c r="W133" s="80"/>
      <c r="X133" s="80"/>
      <c r="Y133" s="80"/>
    </row>
    <row r="134" spans="19:25">
      <c r="S134" s="80"/>
      <c r="T134" s="80"/>
      <c r="U134" s="80"/>
      <c r="V134" s="80"/>
      <c r="W134" s="80"/>
      <c r="X134" s="80"/>
      <c r="Y134" s="80"/>
    </row>
    <row r="135" spans="19:25">
      <c r="S135" s="80"/>
      <c r="T135" s="80"/>
      <c r="U135" s="80"/>
      <c r="V135" s="80"/>
      <c r="W135" s="80"/>
      <c r="X135" s="80"/>
      <c r="Y135" s="80"/>
    </row>
    <row r="136" spans="19:25">
      <c r="S136" s="80"/>
      <c r="T136" s="80"/>
      <c r="U136" s="80"/>
      <c r="V136" s="80"/>
      <c r="W136" s="80"/>
      <c r="X136" s="80"/>
      <c r="Y136" s="80"/>
    </row>
    <row r="137" spans="19:25">
      <c r="S137" s="80"/>
      <c r="T137" s="80"/>
      <c r="U137" s="80"/>
      <c r="V137" s="80"/>
      <c r="W137" s="80"/>
      <c r="X137" s="80"/>
      <c r="Y137" s="80"/>
    </row>
    <row r="138" spans="19:25">
      <c r="S138" s="80"/>
      <c r="T138" s="80"/>
      <c r="U138" s="80"/>
      <c r="V138" s="80"/>
      <c r="W138" s="80"/>
      <c r="X138" s="80"/>
      <c r="Y138" s="80"/>
    </row>
    <row r="139" spans="19:25">
      <c r="S139" s="80"/>
      <c r="T139" s="80"/>
      <c r="U139" s="80"/>
      <c r="V139" s="80"/>
      <c r="W139" s="80"/>
      <c r="X139" s="80"/>
      <c r="Y139" s="80"/>
    </row>
    <row r="140" spans="19:25">
      <c r="S140" s="80"/>
      <c r="T140" s="80"/>
      <c r="U140" s="80"/>
      <c r="V140" s="80"/>
      <c r="W140" s="80"/>
      <c r="X140" s="80"/>
      <c r="Y140" s="80"/>
    </row>
    <row r="141" spans="19:25">
      <c r="S141" s="80"/>
      <c r="T141" s="80"/>
      <c r="U141" s="80"/>
      <c r="V141" s="80"/>
      <c r="W141" s="80"/>
      <c r="X141" s="80"/>
      <c r="Y141" s="80"/>
    </row>
    <row r="142" spans="19:25">
      <c r="S142" s="80"/>
      <c r="T142" s="80"/>
      <c r="U142" s="80"/>
      <c r="V142" s="80"/>
      <c r="W142" s="80"/>
      <c r="X142" s="80"/>
      <c r="Y142" s="80"/>
    </row>
    <row r="143" spans="19:25">
      <c r="S143" s="80"/>
      <c r="T143" s="80"/>
      <c r="U143" s="80"/>
      <c r="V143" s="80"/>
      <c r="W143" s="80"/>
      <c r="X143" s="80"/>
      <c r="Y143" s="80"/>
    </row>
    <row r="144" spans="19:25">
      <c r="S144" s="80"/>
      <c r="T144" s="80"/>
      <c r="U144" s="80"/>
      <c r="V144" s="80"/>
      <c r="W144" s="80"/>
      <c r="X144" s="80"/>
      <c r="Y144" s="80"/>
    </row>
    <row r="145" spans="19:25">
      <c r="S145" s="80"/>
      <c r="T145" s="80"/>
      <c r="U145" s="80"/>
      <c r="V145" s="80"/>
      <c r="W145" s="80"/>
      <c r="X145" s="80"/>
      <c r="Y145" s="80"/>
    </row>
    <row r="146" spans="19:25">
      <c r="S146" s="80"/>
      <c r="T146" s="80"/>
      <c r="U146" s="80"/>
      <c r="V146" s="80"/>
      <c r="W146" s="80"/>
      <c r="X146" s="80"/>
      <c r="Y146" s="80"/>
    </row>
    <row r="147" spans="19:25">
      <c r="S147" s="80"/>
      <c r="T147" s="80"/>
      <c r="U147" s="80"/>
      <c r="V147" s="80"/>
      <c r="W147" s="80"/>
      <c r="X147" s="80"/>
      <c r="Y147" s="80"/>
    </row>
    <row r="148" spans="19:25">
      <c r="S148" s="80"/>
      <c r="T148" s="80"/>
      <c r="U148" s="80"/>
      <c r="V148" s="80"/>
      <c r="W148" s="80"/>
      <c r="X148" s="80"/>
      <c r="Y148" s="80"/>
    </row>
    <row r="149" spans="19:25">
      <c r="S149" s="80"/>
      <c r="T149" s="80"/>
      <c r="U149" s="80"/>
      <c r="V149" s="80"/>
      <c r="W149" s="80"/>
      <c r="X149" s="80"/>
      <c r="Y149" s="80"/>
    </row>
    <row r="150" spans="19:25">
      <c r="S150" s="80"/>
      <c r="T150" s="80"/>
      <c r="U150" s="80"/>
      <c r="V150" s="80"/>
      <c r="W150" s="80"/>
      <c r="X150" s="80"/>
      <c r="Y150" s="80"/>
    </row>
    <row r="151" spans="19:25">
      <c r="S151" s="80"/>
      <c r="T151" s="80"/>
      <c r="U151" s="80"/>
      <c r="V151" s="80"/>
      <c r="W151" s="80"/>
      <c r="X151" s="80"/>
      <c r="Y151" s="80"/>
    </row>
    <row r="152" spans="19:25">
      <c r="S152" s="80"/>
      <c r="T152" s="80"/>
      <c r="U152" s="80"/>
      <c r="V152" s="80"/>
      <c r="W152" s="80"/>
      <c r="X152" s="80"/>
      <c r="Y152" s="80"/>
    </row>
    <row r="153" spans="19:25">
      <c r="S153" s="80"/>
      <c r="T153" s="80"/>
      <c r="U153" s="80"/>
      <c r="V153" s="80"/>
      <c r="W153" s="80"/>
      <c r="X153" s="80"/>
      <c r="Y153" s="80"/>
    </row>
    <row r="154" spans="19:25">
      <c r="S154" s="80"/>
      <c r="T154" s="80"/>
      <c r="U154" s="80"/>
      <c r="V154" s="80"/>
      <c r="W154" s="80"/>
      <c r="X154" s="80"/>
      <c r="Y154" s="80"/>
    </row>
    <row r="155" spans="19:25">
      <c r="S155" s="80"/>
      <c r="T155" s="80"/>
      <c r="U155" s="80"/>
      <c r="V155" s="80"/>
      <c r="W155" s="80"/>
      <c r="X155" s="80"/>
      <c r="Y155" s="80"/>
    </row>
    <row r="156" spans="19:25">
      <c r="S156" s="80"/>
      <c r="T156" s="80"/>
      <c r="U156" s="80"/>
      <c r="V156" s="80"/>
      <c r="W156" s="80"/>
      <c r="X156" s="80"/>
      <c r="Y156" s="80"/>
    </row>
    <row r="157" spans="19:25">
      <c r="S157" s="80"/>
      <c r="T157" s="80"/>
      <c r="U157" s="80"/>
      <c r="V157" s="80"/>
      <c r="W157" s="80"/>
      <c r="X157" s="80"/>
      <c r="Y157" s="80"/>
    </row>
    <row r="158" spans="19:25">
      <c r="S158" s="80"/>
      <c r="T158" s="80"/>
      <c r="U158" s="80"/>
      <c r="V158" s="80"/>
      <c r="W158" s="80"/>
      <c r="X158" s="80"/>
      <c r="Y158" s="80"/>
    </row>
    <row r="159" spans="19:25">
      <c r="S159" s="80"/>
      <c r="T159" s="80"/>
      <c r="U159" s="80"/>
      <c r="V159" s="80"/>
      <c r="W159" s="80"/>
      <c r="X159" s="80"/>
      <c r="Y159" s="80"/>
    </row>
    <row r="160" spans="19:25">
      <c r="S160" s="80"/>
      <c r="T160" s="80"/>
      <c r="U160" s="80"/>
      <c r="V160" s="80"/>
      <c r="W160" s="80"/>
      <c r="X160" s="80"/>
      <c r="Y160" s="80"/>
    </row>
    <row r="161" spans="19:25">
      <c r="S161" s="80"/>
      <c r="T161" s="80"/>
      <c r="U161" s="80"/>
      <c r="V161" s="80"/>
      <c r="W161" s="80"/>
      <c r="X161" s="80"/>
      <c r="Y161" s="80"/>
    </row>
    <row r="162" spans="19:25">
      <c r="S162" s="80"/>
      <c r="T162" s="80"/>
      <c r="U162" s="80"/>
      <c r="V162" s="80"/>
      <c r="W162" s="80"/>
      <c r="X162" s="80"/>
      <c r="Y162" s="80"/>
    </row>
    <row r="163" spans="19:25">
      <c r="S163" s="80"/>
      <c r="T163" s="80"/>
      <c r="U163" s="80"/>
      <c r="V163" s="80"/>
      <c r="W163" s="80"/>
      <c r="X163" s="80"/>
      <c r="Y163" s="80"/>
    </row>
    <row r="164" spans="19:25">
      <c r="S164" s="80"/>
      <c r="T164" s="80"/>
      <c r="U164" s="80"/>
      <c r="V164" s="80"/>
      <c r="W164" s="80"/>
      <c r="X164" s="80"/>
      <c r="Y164" s="80"/>
    </row>
    <row r="165" spans="19:25">
      <c r="S165" s="80"/>
      <c r="T165" s="80"/>
      <c r="U165" s="80"/>
      <c r="V165" s="80"/>
      <c r="W165" s="80"/>
      <c r="X165" s="80"/>
      <c r="Y165" s="80"/>
    </row>
    <row r="166" spans="19:25">
      <c r="S166" s="80"/>
      <c r="T166" s="80"/>
      <c r="U166" s="80"/>
      <c r="V166" s="80"/>
      <c r="W166" s="80"/>
      <c r="X166" s="80"/>
      <c r="Y166" s="80"/>
    </row>
    <row r="167" spans="19:25">
      <c r="S167" s="80"/>
      <c r="T167" s="80"/>
      <c r="U167" s="80"/>
      <c r="V167" s="80"/>
      <c r="W167" s="80"/>
      <c r="X167" s="80"/>
      <c r="Y167" s="80"/>
    </row>
    <row r="168" spans="19:25">
      <c r="S168" s="80"/>
      <c r="T168" s="80"/>
      <c r="U168" s="80"/>
      <c r="V168" s="80"/>
      <c r="W168" s="80"/>
      <c r="X168" s="80"/>
      <c r="Y168" s="80"/>
    </row>
    <row r="169" spans="19:25">
      <c r="S169" s="80"/>
      <c r="T169" s="80"/>
      <c r="U169" s="80"/>
      <c r="V169" s="80"/>
      <c r="W169" s="80"/>
      <c r="X169" s="80"/>
      <c r="Y169" s="80"/>
    </row>
    <row r="170" spans="19:25">
      <c r="S170" s="80"/>
      <c r="T170" s="80"/>
      <c r="U170" s="80"/>
      <c r="V170" s="80"/>
      <c r="W170" s="80"/>
      <c r="X170" s="80"/>
      <c r="Y170" s="80"/>
    </row>
  </sheetData>
  <sheetProtection algorithmName="SHA-512" hashValue="i59KjZqHjHMkiO0nbi7s+UqpEYTk0QikSJmoPJ0bFh3F1M//Mo2onfxPURheAFQv4yg7ioRmCP7XoYijt+FUNw==" saltValue="e6gw7b4LRBT7pkYOdZgHGw==" spinCount="100000" sheet="1" selectLockedCells="1"/>
  <protectedRanges>
    <protectedRange sqref="O9:P9 T4 I19:M19 S19:T19 W19:X19 O11:P11 T5:U6" name="Zakres1"/>
  </protectedRanges>
  <mergeCells count="36">
    <mergeCell ref="D16:D19"/>
    <mergeCell ref="E16:E19"/>
    <mergeCell ref="G16:G19"/>
    <mergeCell ref="G37:H37"/>
    <mergeCell ref="I16:R16"/>
    <mergeCell ref="G35:H35"/>
    <mergeCell ref="G34:H34"/>
    <mergeCell ref="Q34:R34"/>
    <mergeCell ref="Q35:R35"/>
    <mergeCell ref="I17:K17"/>
    <mergeCell ref="T17:T18"/>
    <mergeCell ref="S17:S18"/>
    <mergeCell ref="S16:Y16"/>
    <mergeCell ref="M17:M18"/>
    <mergeCell ref="S11:X11"/>
    <mergeCell ref="W17:W18"/>
    <mergeCell ref="U17:U18"/>
    <mergeCell ref="X17:X18"/>
    <mergeCell ref="H11:M11"/>
    <mergeCell ref="Q11:R11"/>
    <mergeCell ref="H16:H19"/>
    <mergeCell ref="Q17:Q19"/>
    <mergeCell ref="Y17:Y19"/>
    <mergeCell ref="R17:R19"/>
    <mergeCell ref="Q10:R10"/>
    <mergeCell ref="T5:U5"/>
    <mergeCell ref="T6:U6"/>
    <mergeCell ref="E2:X2"/>
    <mergeCell ref="E3:S3"/>
    <mergeCell ref="E5:S5"/>
    <mergeCell ref="E6:S6"/>
    <mergeCell ref="E7:S7"/>
    <mergeCell ref="S9:Y9"/>
    <mergeCell ref="O9:R9"/>
    <mergeCell ref="T4:V4"/>
    <mergeCell ref="E4:S4"/>
  </mergeCells>
  <phoneticPr fontId="5" type="noConversion"/>
  <conditionalFormatting sqref="G37">
    <cfRule type="expression" dxfId="35" priority="5" stopIfTrue="1">
      <formula>IF(O31=4,TRUE,FALSE)</formula>
    </cfRule>
  </conditionalFormatting>
  <conditionalFormatting sqref="D20:D31">
    <cfRule type="expression" dxfId="34" priority="6" stopIfTrue="1">
      <formula>IF(O20=1,TRUE,FALSE)</formula>
    </cfRule>
    <cfRule type="expression" dxfId="33" priority="7" stopIfTrue="1">
      <formula>IF(O20=2,TRUE,FALSE)</formula>
    </cfRule>
    <cfRule type="expression" dxfId="32" priority="8" stopIfTrue="1">
      <formula>IF(O20=3,TRUE,FALSE)</formula>
    </cfRule>
  </conditionalFormatting>
  <conditionalFormatting sqref="Q20:Q31">
    <cfRule type="expression" dxfId="31" priority="9" stopIfTrue="1">
      <formula>IF(O20=1,TRUE,FALSE)</formula>
    </cfRule>
    <cfRule type="expression" dxfId="30" priority="10" stopIfTrue="1">
      <formula>IF(O20=2,TRUE,FALSE)</formula>
    </cfRule>
    <cfRule type="expression" dxfId="29" priority="11" stopIfTrue="1">
      <formula>IF(O20=3,TRUE,FALSE)</formula>
    </cfRule>
  </conditionalFormatting>
  <conditionalFormatting sqref="G35">
    <cfRule type="expression" dxfId="28" priority="12" stopIfTrue="1">
      <formula>IF(O31&gt;=2,TRUE,FALSE)</formula>
    </cfRule>
  </conditionalFormatting>
  <conditionalFormatting sqref="G34">
    <cfRule type="expression" dxfId="27" priority="13" stopIfTrue="1">
      <formula>IF(O31&gt;=1,TRUE,FALSE)</formula>
    </cfRule>
  </conditionalFormatting>
  <conditionalFormatting sqref="G22:G32 H20:H32 M20:M32 R20:R32 E20:G31 I20:L31 N20:N31 S20:V31 W20:Y32">
    <cfRule type="expression" dxfId="26" priority="14" stopIfTrue="1">
      <formula>"L12=2"</formula>
    </cfRule>
  </conditionalFormatting>
  <conditionalFormatting sqref="O20:P31">
    <cfRule type="cellIs" dxfId="25" priority="15" stopIfTrue="1" operator="equal">
      <formula>2</formula>
    </cfRule>
    <cfRule type="cellIs" dxfId="24" priority="16" stopIfTrue="1" operator="equal">
      <formula>3</formula>
    </cfRule>
    <cfRule type="cellIs" dxfId="23" priority="17" stopIfTrue="1" operator="equal">
      <formula>4</formula>
    </cfRule>
  </conditionalFormatting>
  <conditionalFormatting sqref="E20:E31">
    <cfRule type="cellIs" dxfId="22" priority="4" operator="lessThan">
      <formula>1600</formula>
    </cfRule>
  </conditionalFormatting>
  <conditionalFormatting sqref="E20:E31">
    <cfRule type="expression" dxfId="21" priority="3" stopIfTrue="1">
      <formula>"L12=2"</formula>
    </cfRule>
  </conditionalFormatting>
  <conditionalFormatting sqref="E20:E31">
    <cfRule type="expression" dxfId="20" priority="2" stopIfTrue="1">
      <formula>"L12=2"</formula>
    </cfRule>
  </conditionalFormatting>
  <conditionalFormatting sqref="E20:E31">
    <cfRule type="expression" dxfId="19" priority="1" stopIfTrue="1">
      <formula>"L12=2"</formula>
    </cfRule>
  </conditionalFormatting>
  <conditionalFormatting sqref="H37">
    <cfRule type="expression" dxfId="18" priority="36" stopIfTrue="1">
      <formula>IF(Q31=4,TRUE,FALSE)</formula>
    </cfRule>
  </conditionalFormatting>
  <conditionalFormatting sqref="H35">
    <cfRule type="expression" dxfId="17" priority="38" stopIfTrue="1">
      <formula>IF(Q31&gt;=2,TRUE,FALSE)</formula>
    </cfRule>
  </conditionalFormatting>
  <conditionalFormatting sqref="H34">
    <cfRule type="expression" dxfId="16" priority="40" stopIfTrue="1">
      <formula>IF(Q31&gt;=1,TRUE,FALSE)</formula>
    </cfRule>
  </conditionalFormatting>
  <dataValidations count="2">
    <dataValidation type="list" allowBlank="1" showInputMessage="1" showErrorMessage="1" promptTitle="Wybierz z listy" prompt="139,06 zł, gdy pracownik zatrudniony jest poza miejscem zamieszkania,_x000a_w przeciwnym wypadku 111,25 zł." sqref="Q10:R10">
      <mc:AlternateContent xmlns:x12ac="http://schemas.microsoft.com/office/spreadsheetml/2011/1/ac" xmlns:mc="http://schemas.openxmlformats.org/markup-compatibility/2006">
        <mc:Choice Requires="x12ac">
          <x12ac:list>"111,25","139,06"</x12ac:list>
        </mc:Choice>
        <mc:Fallback>
          <formula1>"111,25,139,06"</formula1>
        </mc:Fallback>
      </mc:AlternateContent>
    </dataValidation>
    <dataValidation allowBlank="1" showInputMessage="1" showErrorMessage="1" promptTitle="Wykaz stóp procentowych " prompt="składek na ubezpieczenie wypadkowe znajdziesz w arkuszu stawki wypadkowe." sqref="Q11:R11"/>
  </dataValidations>
  <printOptions horizontalCentered="1"/>
  <pageMargins left="0.19685039370078741" right="0.19685039370078741" top="0.39370078740157483" bottom="0.39370078740157483" header="0.51181102362204722" footer="0.51181102362204722"/>
  <pageSetup paperSize="9" scale="85" orientation="landscape" horizontalDpi="4294967295" verticalDpi="4294967295" r:id="rId1"/>
  <headerFooter alignWithMargins="0"/>
  <drawing r:id="rId2"/>
  <picture r:id="rId3"/>
  <extLst>
    <ext xmlns:x14="http://schemas.microsoft.com/office/spreadsheetml/2009/9/main" uri="{CCE6A557-97BC-4b89-ADB6-D9C93CAAB3DF}">
      <x14:dataValidations xmlns:xm="http://schemas.microsoft.com/office/excel/2006/main" count="2">
        <x14:dataValidation type="decimal" errorStyle="information" operator="greaterThanOrEqual" allowBlank="1" showInputMessage="1" showErrorMessage="1" errorTitle="Uwaga" error="Kwota nie może być niższa niż minimalne wynagrodzenie za pracę.">
          <x14:formula1>
            <xm:f>zmienne!C8</xm:f>
          </x14:formula1>
          <xm:sqref>O9:P9</xm:sqref>
        </x14:dataValidation>
        <x14:dataValidation type="decimal" errorStyle="information" operator="greaterThanOrEqual" allowBlank="1" showInputMessage="1" showErrorMessage="1" errorTitle="Uwaga" error="Kwota nie może być niższa niż minimalne wynagrodzenie za pracę.">
          <x14:formula1>
            <xm:f>zmienne!D8</xm:f>
          </x14:formula1>
          <xm:sqref>Q9:R9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H29" sqref="H29"/>
    </sheetView>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AQ169"/>
  <sheetViews>
    <sheetView showGridLines="0" showRowColHeaders="0" topLeftCell="A7" zoomScaleNormal="100" workbookViewId="0">
      <selection activeCell="Q8" sqref="Q8:R8"/>
    </sheetView>
  </sheetViews>
  <sheetFormatPr defaultColWidth="11.42578125" defaultRowHeight="12.75"/>
  <cols>
    <col min="1" max="1" width="2" style="2" customWidth="1"/>
    <col min="2" max="2" width="5" style="2" hidden="1" customWidth="1"/>
    <col min="3" max="3" width="9.7109375" style="1" hidden="1" customWidth="1"/>
    <col min="4" max="4" width="12" style="2" hidden="1" customWidth="1"/>
    <col min="5" max="5" width="11.7109375" style="2" hidden="1" customWidth="1"/>
    <col min="6" max="7" width="9.7109375" style="2" hidden="1" customWidth="1"/>
    <col min="8" max="8" width="24.5703125" style="2" customWidth="1"/>
    <col min="9" max="9" width="7.85546875" style="2" hidden="1" customWidth="1"/>
    <col min="10" max="11" width="8.7109375" style="2" hidden="1" customWidth="1"/>
    <col min="12" max="12" width="7.28515625" style="2" hidden="1" customWidth="1"/>
    <col min="13" max="13" width="15.85546875" style="2" customWidth="1"/>
    <col min="14" max="14" width="11" style="2" hidden="1" customWidth="1"/>
    <col min="15" max="15" width="10" style="2" hidden="1" customWidth="1"/>
    <col min="16" max="16" width="13.42578125" style="2" hidden="1" customWidth="1"/>
    <col min="17" max="17" width="30.5703125" style="2" customWidth="1"/>
    <col min="18" max="18" width="14.7109375" style="3" hidden="1" customWidth="1"/>
    <col min="19" max="19" width="0.7109375" style="3" hidden="1" customWidth="1"/>
    <col min="20" max="20" width="1.5703125" style="2" hidden="1" customWidth="1"/>
    <col min="21" max="21" width="3.7109375" style="2" hidden="1" customWidth="1"/>
    <col min="22" max="22" width="4.28515625" style="2" hidden="1" customWidth="1"/>
    <col min="23" max="23" width="3.28515625" style="2" hidden="1" customWidth="1"/>
    <col min="24" max="24" width="2" style="2" hidden="1" customWidth="1"/>
    <col min="25" max="25" width="10.28515625" style="2" hidden="1" customWidth="1"/>
    <col min="26" max="26" width="7.7109375" style="2" hidden="1" customWidth="1"/>
    <col min="27" max="27" width="9.5703125" style="2" hidden="1" customWidth="1"/>
    <col min="28" max="28" width="7.42578125" style="2" hidden="1" customWidth="1"/>
    <col min="29" max="29" width="7.5703125" style="2" hidden="1" customWidth="1"/>
    <col min="30" max="30" width="3.7109375" style="2" hidden="1" customWidth="1"/>
    <col min="31" max="31" width="11.42578125" style="2" hidden="1" customWidth="1"/>
    <col min="32" max="32" width="10.42578125" style="2" hidden="1" customWidth="1"/>
    <col min="33" max="39" width="11.42578125" style="2" hidden="1" customWidth="1"/>
    <col min="40" max="41" width="0" style="2" hidden="1" customWidth="1"/>
    <col min="42" max="16384" width="11.42578125" style="2"/>
  </cols>
  <sheetData>
    <row r="1" spans="3:43" ht="2.4500000000000002" hidden="1" customHeight="1">
      <c r="H1" s="228"/>
      <c r="I1" s="229"/>
      <c r="J1" s="229"/>
      <c r="K1" s="229"/>
      <c r="L1" s="229"/>
      <c r="M1" s="229"/>
      <c r="N1" s="229"/>
      <c r="O1" s="229"/>
      <c r="P1" s="229"/>
      <c r="Q1" s="229"/>
      <c r="R1" s="229"/>
      <c r="S1" s="229"/>
      <c r="T1" s="229"/>
      <c r="U1" s="229"/>
      <c r="V1" s="173"/>
      <c r="W1" s="173"/>
      <c r="X1" s="174"/>
    </row>
    <row r="2" spans="3:43" ht="15.75" hidden="1">
      <c r="G2" s="303" t="s">
        <v>33</v>
      </c>
      <c r="H2" s="304"/>
      <c r="I2" s="304"/>
      <c r="J2" s="304"/>
      <c r="K2" s="304"/>
      <c r="L2" s="304"/>
      <c r="M2" s="304"/>
      <c r="N2" s="304"/>
      <c r="O2" s="304"/>
      <c r="P2" s="304"/>
      <c r="Q2" s="304"/>
      <c r="R2" s="304"/>
      <c r="S2" s="304"/>
      <c r="T2" s="304"/>
      <c r="U2" s="172"/>
      <c r="V2" s="172"/>
      <c r="W2" s="172"/>
      <c r="X2" s="81"/>
    </row>
    <row r="3" spans="3:43" ht="12.95" hidden="1" customHeight="1">
      <c r="G3" s="305" t="s">
        <v>67</v>
      </c>
      <c r="H3" s="306"/>
      <c r="I3" s="306"/>
      <c r="J3" s="306"/>
      <c r="K3" s="306"/>
      <c r="L3" s="306"/>
      <c r="M3" s="306"/>
      <c r="N3" s="306"/>
      <c r="O3" s="306"/>
      <c r="P3" s="306"/>
      <c r="Q3" s="306"/>
      <c r="R3" s="306"/>
      <c r="S3" s="306"/>
      <c r="T3" s="306"/>
      <c r="U3" s="83"/>
      <c r="V3" s="83"/>
      <c r="W3" s="83"/>
      <c r="X3" s="81"/>
    </row>
    <row r="4" spans="3:43" ht="12.95" hidden="1" customHeight="1">
      <c r="G4" s="300" t="s">
        <v>28</v>
      </c>
      <c r="H4" s="301"/>
      <c r="I4" s="301"/>
      <c r="J4" s="301"/>
      <c r="K4" s="301"/>
      <c r="L4" s="301"/>
      <c r="M4" s="301"/>
      <c r="N4" s="301"/>
      <c r="O4" s="301"/>
      <c r="P4" s="301"/>
      <c r="Q4" s="301"/>
      <c r="R4" s="301"/>
      <c r="S4" s="301"/>
      <c r="T4" s="302"/>
      <c r="U4" s="298">
        <f>'umowa o pracę - brutto'!T5</f>
        <v>46.33</v>
      </c>
      <c r="V4" s="299"/>
      <c r="W4" s="83"/>
      <c r="X4" s="81"/>
    </row>
    <row r="5" spans="3:43" ht="12.95" hidden="1" customHeight="1" thickBot="1">
      <c r="G5" s="300" t="s">
        <v>29</v>
      </c>
      <c r="H5" s="301"/>
      <c r="I5" s="301"/>
      <c r="J5" s="301"/>
      <c r="K5" s="301"/>
      <c r="L5" s="301"/>
      <c r="M5" s="301"/>
      <c r="N5" s="301"/>
      <c r="O5" s="301"/>
      <c r="P5" s="301"/>
      <c r="Q5" s="301"/>
      <c r="R5" s="301"/>
      <c r="S5" s="301"/>
      <c r="T5" s="302"/>
      <c r="U5" s="296">
        <f>'umowa o pracę - brutto'!T6</f>
        <v>133290</v>
      </c>
      <c r="V5" s="297"/>
      <c r="W5" s="83"/>
      <c r="X5" s="81"/>
    </row>
    <row r="6" spans="3:43" ht="6" hidden="1" customHeight="1">
      <c r="G6" s="84"/>
      <c r="H6" s="85"/>
      <c r="I6" s="85"/>
      <c r="J6" s="85"/>
      <c r="K6" s="85"/>
      <c r="L6" s="85"/>
      <c r="M6" s="85"/>
      <c r="N6" s="85"/>
      <c r="O6" s="85"/>
      <c r="P6" s="85"/>
      <c r="Q6" s="85"/>
      <c r="R6" s="85"/>
      <c r="S6" s="85"/>
      <c r="T6" s="85"/>
      <c r="U6" s="86"/>
      <c r="V6" s="86"/>
      <c r="W6" s="86"/>
      <c r="X6" s="81"/>
    </row>
    <row r="7" spans="3:43" ht="13.5" thickBot="1">
      <c r="G7" s="81"/>
      <c r="H7" s="81"/>
      <c r="I7" s="81"/>
      <c r="J7" s="81"/>
      <c r="K7" s="81"/>
      <c r="L7" s="81"/>
      <c r="M7" s="81"/>
      <c r="N7" s="81"/>
      <c r="O7" s="81"/>
      <c r="P7" s="81"/>
      <c r="Q7" s="81"/>
      <c r="R7" s="82"/>
      <c r="S7" s="82"/>
      <c r="T7" s="81"/>
      <c r="U7" s="81"/>
      <c r="V7" s="81"/>
      <c r="W7" s="81"/>
      <c r="X7" s="81"/>
    </row>
    <row r="8" spans="3:43" ht="21" customHeight="1" thickTop="1" thickBot="1">
      <c r="G8" s="81"/>
      <c r="H8" s="81"/>
      <c r="I8" s="81"/>
      <c r="J8" s="81"/>
      <c r="K8" s="81"/>
      <c r="L8" s="81"/>
      <c r="M8" s="130" t="s">
        <v>34</v>
      </c>
      <c r="N8" s="81"/>
      <c r="O8" s="81"/>
      <c r="P8" s="81"/>
      <c r="Q8" s="326"/>
      <c r="R8" s="327"/>
      <c r="S8" s="131"/>
      <c r="T8" s="226" t="str">
        <f>IF(OR(netto="",netto=0),"",IF(netto&gt;=MWZPN,"","Kwota nie może być mniejsza niż minimalne wynagrodzenie za pracę!"))</f>
        <v/>
      </c>
      <c r="U8" s="227"/>
      <c r="V8" s="227"/>
      <c r="W8" s="227"/>
      <c r="X8" s="227"/>
      <c r="Y8" s="62" t="str">
        <f>IF(netto="","",IF(netto&gt;=MWZPN,"","Kwota nie może być mniejsza niż minimalne wynagrodzenie za pracę!"))</f>
        <v/>
      </c>
      <c r="AP8" s="231"/>
      <c r="AQ8" s="232"/>
    </row>
    <row r="9" spans="3:43" ht="3" hidden="1" customHeight="1" thickBot="1">
      <c r="G9" s="81"/>
      <c r="H9" s="81"/>
      <c r="I9" s="81"/>
      <c r="J9" s="81"/>
      <c r="K9" s="81"/>
      <c r="L9" s="81"/>
      <c r="M9" s="81"/>
      <c r="N9" s="81"/>
      <c r="O9" s="81"/>
      <c r="P9" s="81"/>
      <c r="Q9" s="81"/>
      <c r="R9" s="81"/>
      <c r="S9" s="81"/>
      <c r="T9" s="81"/>
      <c r="U9" s="90"/>
      <c r="V9" s="90"/>
      <c r="W9" s="90"/>
      <c r="X9" s="90"/>
    </row>
    <row r="10" spans="3:43" ht="15" hidden="1" customHeight="1" thickBot="1">
      <c r="G10" s="81"/>
      <c r="H10" s="81"/>
      <c r="I10" s="132"/>
      <c r="J10" s="132"/>
      <c r="K10" s="132"/>
      <c r="L10" s="132"/>
      <c r="M10" s="133" t="s">
        <v>18</v>
      </c>
      <c r="N10" s="81"/>
      <c r="O10" s="81"/>
      <c r="P10" s="134"/>
      <c r="Q10" s="328">
        <f>'umowa o pracę - brutto'!Q11</f>
        <v>1.7999999999999999E-2</v>
      </c>
      <c r="R10" s="329"/>
      <c r="S10" s="135"/>
      <c r="T10" s="136"/>
      <c r="U10" s="137"/>
      <c r="V10" s="137"/>
      <c r="W10" s="137"/>
      <c r="X10" s="81"/>
    </row>
    <row r="11" spans="3:43" s="5" customFormat="1" hidden="1" thickTop="1">
      <c r="C11" s="4"/>
      <c r="G11" s="91"/>
      <c r="H11" s="91"/>
      <c r="I11" s="91"/>
      <c r="J11" s="91"/>
      <c r="K11" s="92"/>
      <c r="L11" s="91"/>
      <c r="M11" s="92"/>
      <c r="N11" s="91"/>
      <c r="O11" s="91"/>
      <c r="P11" s="91"/>
      <c r="Q11" s="91"/>
      <c r="R11" s="91"/>
      <c r="S11" s="92"/>
      <c r="T11" s="92"/>
      <c r="U11" s="91"/>
      <c r="V11" s="91"/>
      <c r="W11" s="91"/>
      <c r="X11" s="93"/>
    </row>
    <row r="12" spans="3:43" ht="13.5" hidden="1" thickTop="1">
      <c r="G12" s="81"/>
      <c r="H12" s="81"/>
      <c r="I12" s="81"/>
      <c r="J12" s="81"/>
      <c r="K12" s="81"/>
      <c r="L12" s="81"/>
      <c r="M12" s="81"/>
      <c r="N12" s="81"/>
      <c r="O12" s="81"/>
      <c r="P12" s="81"/>
      <c r="Q12" s="81"/>
      <c r="R12" s="82"/>
      <c r="S12" s="94"/>
      <c r="T12" s="81"/>
      <c r="U12" s="81"/>
      <c r="V12" s="81"/>
      <c r="W12" s="95"/>
      <c r="X12" s="81"/>
    </row>
    <row r="13" spans="3:43" ht="13.5" hidden="1" thickTop="1">
      <c r="G13" s="81"/>
      <c r="H13" s="81"/>
      <c r="I13" s="81"/>
      <c r="J13" s="81"/>
      <c r="K13" s="81"/>
      <c r="L13" s="81"/>
      <c r="M13" s="81"/>
      <c r="N13" s="81"/>
      <c r="O13" s="81"/>
      <c r="P13" s="81"/>
      <c r="Q13" s="81"/>
      <c r="R13" s="82"/>
      <c r="S13" s="82"/>
      <c r="T13" s="81"/>
      <c r="U13" s="81"/>
      <c r="V13" s="81"/>
      <c r="W13" s="81"/>
      <c r="X13" s="96"/>
    </row>
    <row r="14" spans="3:43" ht="7.15" customHeight="1" thickTop="1" thickBot="1">
      <c r="G14" s="81"/>
      <c r="H14" s="81"/>
      <c r="I14" s="81"/>
      <c r="J14" s="81"/>
      <c r="K14" s="81"/>
      <c r="L14" s="81"/>
      <c r="M14" s="81"/>
      <c r="N14" s="81"/>
      <c r="O14" s="81"/>
      <c r="P14" s="81"/>
      <c r="Q14" s="330"/>
      <c r="R14" s="330"/>
      <c r="S14" s="82"/>
      <c r="T14" s="81"/>
      <c r="U14" s="81"/>
      <c r="V14" s="81"/>
      <c r="W14" s="81"/>
      <c r="X14" s="81"/>
    </row>
    <row r="15" spans="3:43" s="1" customFormat="1" ht="19.5" customHeight="1">
      <c r="G15" s="80"/>
      <c r="H15" s="80"/>
      <c r="I15" s="289" t="s">
        <v>9</v>
      </c>
      <c r="J15" s="290"/>
      <c r="K15" s="290"/>
      <c r="L15" s="291"/>
      <c r="M15" s="308" t="s">
        <v>1</v>
      </c>
      <c r="N15" s="311" t="s">
        <v>12</v>
      </c>
      <c r="O15" s="321" t="s">
        <v>44</v>
      </c>
      <c r="P15" s="320" t="s">
        <v>43</v>
      </c>
      <c r="Q15" s="314" t="s">
        <v>2</v>
      </c>
      <c r="R15" s="317" t="s">
        <v>51</v>
      </c>
      <c r="S15" s="80"/>
      <c r="T15" s="80"/>
      <c r="U15" s="80"/>
      <c r="V15" s="80"/>
      <c r="W15" s="80"/>
      <c r="X15" s="80"/>
      <c r="Y15" s="64"/>
      <c r="Z15" s="64"/>
      <c r="AA15" s="64"/>
      <c r="AB15" s="64"/>
      <c r="AC15" s="64"/>
      <c r="AD15" s="64"/>
      <c r="AE15" s="64"/>
      <c r="AF15" s="65"/>
      <c r="AG15" s="63" t="s">
        <v>10</v>
      </c>
      <c r="AH15" s="64"/>
      <c r="AI15" s="64"/>
      <c r="AJ15" s="64"/>
      <c r="AK15" s="64"/>
      <c r="AL15" s="64"/>
      <c r="AM15" s="65"/>
    </row>
    <row r="16" spans="3:43" s="1" customFormat="1" ht="10.5" customHeight="1">
      <c r="G16" s="80"/>
      <c r="H16" s="80"/>
      <c r="I16" s="138" t="s">
        <v>22</v>
      </c>
      <c r="J16" s="139"/>
      <c r="K16" s="140"/>
      <c r="L16" s="99"/>
      <c r="M16" s="309"/>
      <c r="N16" s="312"/>
      <c r="O16" s="322"/>
      <c r="P16" s="309"/>
      <c r="Q16" s="315"/>
      <c r="R16" s="318"/>
      <c r="S16" s="80"/>
      <c r="T16" s="80"/>
      <c r="U16" s="80"/>
      <c r="V16" s="80"/>
      <c r="W16" s="80"/>
      <c r="X16" s="80"/>
      <c r="Y16" s="324" t="s">
        <v>15</v>
      </c>
      <c r="Z16" s="12"/>
      <c r="AA16" s="12"/>
      <c r="AC16" s="12"/>
      <c r="AD16" s="12"/>
      <c r="AE16" s="66" t="s">
        <v>13</v>
      </c>
      <c r="AF16" s="67" t="s">
        <v>3</v>
      </c>
      <c r="AG16" s="68" t="s">
        <v>24</v>
      </c>
      <c r="AH16" s="69" t="s">
        <v>25</v>
      </c>
      <c r="AI16" s="69" t="s">
        <v>27</v>
      </c>
      <c r="AJ16" s="13"/>
      <c r="AK16" s="70" t="s">
        <v>11</v>
      </c>
      <c r="AL16" s="71" t="s">
        <v>23</v>
      </c>
      <c r="AM16" s="67" t="s">
        <v>3</v>
      </c>
    </row>
    <row r="17" spans="2:39" s="1" customFormat="1" ht="19.899999999999999" customHeight="1" thickBot="1">
      <c r="G17" s="80"/>
      <c r="H17" s="80"/>
      <c r="I17" s="141" t="s">
        <v>24</v>
      </c>
      <c r="J17" s="142" t="s">
        <v>25</v>
      </c>
      <c r="K17" s="142" t="s">
        <v>26</v>
      </c>
      <c r="L17" s="101" t="s">
        <v>35</v>
      </c>
      <c r="M17" s="310"/>
      <c r="N17" s="313"/>
      <c r="O17" s="323"/>
      <c r="P17" s="310"/>
      <c r="Q17" s="316"/>
      <c r="R17" s="319"/>
      <c r="S17" s="80"/>
      <c r="T17" s="80"/>
      <c r="U17" s="80"/>
      <c r="V17" s="80"/>
      <c r="W17" s="80"/>
      <c r="X17" s="80"/>
      <c r="Y17" s="325"/>
      <c r="Z17" s="79" t="s">
        <v>16</v>
      </c>
      <c r="AA17" s="38" t="s">
        <v>46</v>
      </c>
      <c r="AB17" s="38" t="s">
        <v>214</v>
      </c>
      <c r="AC17" s="14" t="s">
        <v>17</v>
      </c>
      <c r="AD17" s="39" t="s">
        <v>45</v>
      </c>
      <c r="AE17" s="72"/>
      <c r="AF17" s="73"/>
      <c r="AG17" s="74"/>
      <c r="AH17" s="75"/>
      <c r="AI17" s="75"/>
      <c r="AJ17" s="78" t="s">
        <v>14</v>
      </c>
      <c r="AK17" s="76"/>
      <c r="AL17" s="77"/>
      <c r="AM17" s="73"/>
    </row>
    <row r="18" spans="2:39" s="30" customFormat="1" ht="11.25" hidden="1" customHeight="1" thickBot="1">
      <c r="G18" s="102"/>
      <c r="H18" s="102"/>
      <c r="I18" s="104">
        <v>9.7600000000000006E-2</v>
      </c>
      <c r="J18" s="105">
        <v>1.4999999999999999E-2</v>
      </c>
      <c r="K18" s="105">
        <v>2.4500000000000001E-2</v>
      </c>
      <c r="L18" s="106" t="s">
        <v>19</v>
      </c>
      <c r="M18" s="151"/>
      <c r="N18" s="152"/>
      <c r="O18" s="153"/>
      <c r="P18" s="154"/>
      <c r="Q18" s="237"/>
      <c r="R18" s="154"/>
      <c r="S18" s="102"/>
      <c r="T18" s="102"/>
      <c r="U18" s="102"/>
      <c r="V18" s="102"/>
      <c r="W18" s="102"/>
      <c r="X18" s="102"/>
      <c r="Y18" s="24">
        <v>0.09</v>
      </c>
      <c r="Z18" s="26"/>
      <c r="AA18" s="27"/>
      <c r="AB18" s="27"/>
      <c r="AC18" s="27"/>
      <c r="AD18" s="27"/>
      <c r="AE18" s="28"/>
      <c r="AF18" s="29"/>
      <c r="AG18" s="23">
        <v>9.7600000000000006E-2</v>
      </c>
      <c r="AH18" s="24">
        <v>6.5000000000000002E-2</v>
      </c>
      <c r="AI18" s="24">
        <f>u_wypadk</f>
        <v>1.7999999999999999E-2</v>
      </c>
      <c r="AJ18" s="25" t="s">
        <v>19</v>
      </c>
      <c r="AK18" s="24">
        <v>2.4500000000000001E-2</v>
      </c>
      <c r="AL18" s="24">
        <v>1E-3</v>
      </c>
      <c r="AM18" s="19"/>
    </row>
    <row r="19" spans="2:39" ht="15" customHeight="1">
      <c r="B19" s="2">
        <v>1</v>
      </c>
      <c r="G19" s="81"/>
      <c r="H19" s="81"/>
      <c r="I19" s="109" t="str">
        <f>IF(netto&lt;MWZPN,"",IF(O19&gt;=brak_e_r,ROUND(emeryt*brak_e_r,2),ROUND(emeryt*Q19,2)))</f>
        <v/>
      </c>
      <c r="J19" s="110" t="str">
        <f>IF(netto&lt;MWZPN,"",IF(O19&gt;=brak_e_r,ROUND(rent*brak_e_r,2),ROUND(rent*Q19,2)))</f>
        <v/>
      </c>
      <c r="K19" s="110" t="str">
        <f t="shared" ref="K19:K30" si="0">IF(netto&lt;MWZPN,"",ROUND(chorob*Q19,2))</f>
        <v/>
      </c>
      <c r="L19" s="143" t="str">
        <f t="shared" ref="L19:L30" si="1">IF(netto&lt;MWZPN,"",ROUND(I19+J19+K19,2))</f>
        <v/>
      </c>
      <c r="M19" s="155" t="str">
        <f>IF(netto&lt;MWZPN,"","styczeń")</f>
        <v/>
      </c>
      <c r="N19" s="144" t="str">
        <f t="shared" ref="N19:N30" si="2">IF(netto&lt;MWZPN,"",netto)</f>
        <v/>
      </c>
      <c r="O19" s="145">
        <f>SUM($Q$19:Q19)</f>
        <v>0</v>
      </c>
      <c r="P19" s="108" t="e">
        <f t="shared" ref="P19:P30" si="3">N19+L19+Y19+AE19</f>
        <v>#VALUE!</v>
      </c>
      <c r="Q19" s="238" t="str">
        <f>IF(netto&lt;MWZPN,"",ROUND(IF((netto-I_proc*K_U_P-kwota_wolna)/((1-emeryt-rent-chorob)*(1-zdrow-I_proc+zdrow_z_podatku))&lt;=brak_e_r,ROUND((netto-I_proc*K_U_P-kwota_wolna)/((1-emeryt-rent-chorob)*(1-zdrow-I_proc+zdrow_z_podatku)),2),ROUND(((netto-I_proc*K_U_P-kwota_wolna)+(emeryt+rent)*(brak_e_r)*(1-zdrow-I_proc+zdrow_z_podatku))/((1-chorob)*(1-zdrow-I_proc+zdrow_z_podatku)),2)),0))</f>
        <v/>
      </c>
      <c r="R19" s="219" t="str">
        <f t="shared" ref="R19:R30" si="4">IF(netto&lt;MWZPN,"",Q19+AJ19+AK19+AL19)</f>
        <v/>
      </c>
      <c r="S19" s="82"/>
      <c r="T19" s="81"/>
      <c r="U19" s="81"/>
      <c r="V19" s="81"/>
      <c r="W19" s="81"/>
      <c r="X19" s="81"/>
      <c r="Y19" s="49" t="str">
        <f t="shared" ref="Y19:Y30" si="5">IF(netto&lt;MWZPN,"",ROUND(zdrow*(Q19-L19),2))</f>
        <v/>
      </c>
      <c r="Z19" s="50" t="str">
        <f t="shared" ref="Z19:Z30" si="6">IF(netto="","",zdrow_z_podatku*(Q19-L19))</f>
        <v/>
      </c>
      <c r="AA19" s="41">
        <f>IF(netto&lt;MWZPN,0,IF(SUM($Q$19:Q19)&lt;=brak_e_r,Q19,SUM($Q$19:Q19)-'umowa o pracę - netto'!brak_e_r))</f>
        <v>0</v>
      </c>
      <c r="AB19" s="41">
        <f t="shared" ref="AB19:AB30" si="7">IF(AC19=1,kwota_wolna,0)</f>
        <v>0</v>
      </c>
      <c r="AC19" s="15">
        <f>IF(netto&lt;MWZPN,0,IF(O18-SUM($L18:L$19)-K_U_P*B18&lt;=I_prog,1,2))</f>
        <v>0</v>
      </c>
      <c r="AD19" s="40">
        <f t="shared" ref="AD19:AD30" si="8">IF(AC19=1,I_proc,IF(AC19=2,II_proc,0))</f>
        <v>0</v>
      </c>
      <c r="AE19" s="45" t="str">
        <f>IF(netto&lt;MWZPN,"",ROUND(I_proc*ROUND((Q19-L19-K_U_P),0)-kwota_wolna-Z19,0))</f>
        <v/>
      </c>
      <c r="AF19" s="48" t="str">
        <f t="shared" ref="AF19:AF30" si="9">IF(netto&lt;MWZPN,"",I19+J19+K19+Y19+AE19)</f>
        <v/>
      </c>
      <c r="AG19" s="51" t="str">
        <f t="shared" ref="AG19:AG30" si="10">I19</f>
        <v/>
      </c>
      <c r="AH19" s="52" t="str">
        <f t="shared" ref="AH19:AH30" si="11">IF(J19="","",J19*($AH$18/rent))</f>
        <v/>
      </c>
      <c r="AI19" s="52" t="str">
        <f t="shared" ref="AI19:AI30" si="12">IF(netto&lt;MWZPN,"",u_wypadk*Q19)</f>
        <v/>
      </c>
      <c r="AJ19" s="53" t="str">
        <f t="shared" ref="AJ19:AJ30" si="13">IF(netto&lt;MWZPN,"",AG19+AH19+AI19)</f>
        <v/>
      </c>
      <c r="AK19" s="49" t="str">
        <f t="shared" ref="AK19:AK30" si="14">IF(netto&lt;MWZPN,"",F_P*Q19)</f>
        <v/>
      </c>
      <c r="AL19" s="49" t="str">
        <f t="shared" ref="AL19:AL30" si="15">IF(netto&lt;MWZPN,"",F_G_S_P*Q19)</f>
        <v/>
      </c>
      <c r="AM19" s="43" t="str">
        <f t="shared" ref="AM19:AM30" si="16">IF(netto&lt;MWZPN,"",AG19+AH19+AI19+AK19+AL19)</f>
        <v/>
      </c>
    </row>
    <row r="20" spans="2:39" ht="15" customHeight="1">
      <c r="B20" s="2">
        <v>2</v>
      </c>
      <c r="G20" s="81"/>
      <c r="H20" s="81"/>
      <c r="I20" s="109" t="str">
        <f t="shared" ref="I20:I30" si="17">IF(netto&lt;MWZPN,"",IF(O20&lt;=brak_e_r,ROUND(emeryt*Q19,2),IF(O20&lt;=brak_e_r+Q20,ROUND(emeryt*(brak_e_r-O19),2),0)))</f>
        <v/>
      </c>
      <c r="J20" s="110" t="str">
        <f t="shared" ref="J20:J30" si="18">IF(netto&lt;MWZPN,"",IF(O20&lt;=brak_e_r,ROUND(rent*Q20,2),IF(O20&lt;=brak_e_r+Q20,ROUND(rent*(brak_e_r-O19),2),0)))</f>
        <v/>
      </c>
      <c r="K20" s="110" t="str">
        <f t="shared" si="0"/>
        <v/>
      </c>
      <c r="L20" s="143" t="str">
        <f t="shared" si="1"/>
        <v/>
      </c>
      <c r="M20" s="155" t="str">
        <f>IF(netto&lt;MWZPN,"","luty")</f>
        <v/>
      </c>
      <c r="N20" s="144" t="str">
        <f t="shared" si="2"/>
        <v/>
      </c>
      <c r="O20" s="145">
        <f>SUM($Q$19:Q20)</f>
        <v>0</v>
      </c>
      <c r="P20" s="108" t="e">
        <f t="shared" si="3"/>
        <v>#VALUE!</v>
      </c>
      <c r="Q20" s="238" t="str">
        <f>IF(netto&lt;MWZPN,"",ROUND(IF(SUM($Q$19:Q19)+(netto-AD20*K_U_P-AB20)/((1-emeryt-rent-chorob)*(1-zdrow-AD20+zdrow_z_podatku))&lt;=brak_e_r,ROUND((N20-AD20*K_U_P-AB20)/((1-emeryt-rent-chorob)*(1-zdrow-AD20+zdrow_z_podatku)),2),IF(SUM($Q$19:Q19)+(netto-AD20*K_U_P-AB20)/((1-emeryt-rent-chorob)*(1-zdrow-AD20+zdrow_z_podatku))&lt;=brak_e_r+(netto-AD20*K_U_P-AB20)/((1-emeryt-rent-chorob)*(1-zdrow-AD20+zdrow_z_podatku)),ROUND(((netto-AD20*K_U_P-AB20)+(emeryt+rent)*(brak_e_r-SUM($Q$19:Q19))*(1-zdrow-AD20+zdrow_z_podatku))/((1-chorob)*(1-zdrow-AD20+zdrow_z_podatku)),2),ROUND((N20-AD20*K_U_P-AB20)/((1-chorob)*(1-zdrow-AD20+zdrow_z_podatku)),2))),0))</f>
        <v/>
      </c>
      <c r="R20" s="219" t="str">
        <f t="shared" si="4"/>
        <v/>
      </c>
      <c r="S20" s="82"/>
      <c r="T20" s="81"/>
      <c r="U20" s="81"/>
      <c r="V20" s="81"/>
      <c r="W20" s="81"/>
      <c r="X20" s="81"/>
      <c r="Y20" s="49" t="str">
        <f t="shared" si="5"/>
        <v/>
      </c>
      <c r="Z20" s="50" t="str">
        <f t="shared" si="6"/>
        <v/>
      </c>
      <c r="AA20" s="41">
        <f>IF(netto&lt;MWZPN,0,IF(SUM($Q$19:Q20)&lt;=brak_e_r,Q20,IF(SUM($Q$19:Q20)&lt;='umowa o pracę - netto'!brak_e_r+Q20,SUM($Q$19:Q20)-'umowa o pracę - netto'!brak_e_r,0)))</f>
        <v>0</v>
      </c>
      <c r="AB20" s="41">
        <f t="shared" si="7"/>
        <v>0</v>
      </c>
      <c r="AC20" s="15">
        <f>IF(netto&lt;MWZPN,0,IF(O19-SUM($L$19:L19)-K_U_P*B19&lt;=I_prog,1,2))</f>
        <v>0</v>
      </c>
      <c r="AD20" s="40">
        <f t="shared" si="8"/>
        <v>0</v>
      </c>
      <c r="AE20" s="46" t="str">
        <f>IF(netto&lt;MWZPN,"",IF(O19-SUM($L$19:L19)-K_U_P*B19&lt;=I_prog,ROUND(I_proc*ROUND((Q20-L20-K_U_P),0)-AB20-Z20,0),ROUND(II_proc*ROUND((Q20-L20-K_U_P),0)-AB20-Z20,0)))</f>
        <v/>
      </c>
      <c r="AF20" s="48" t="str">
        <f t="shared" si="9"/>
        <v/>
      </c>
      <c r="AG20" s="51" t="str">
        <f t="shared" si="10"/>
        <v/>
      </c>
      <c r="AH20" s="52" t="str">
        <f t="shared" si="11"/>
        <v/>
      </c>
      <c r="AI20" s="52" t="str">
        <f t="shared" si="12"/>
        <v/>
      </c>
      <c r="AJ20" s="53" t="str">
        <f t="shared" si="13"/>
        <v/>
      </c>
      <c r="AK20" s="49" t="str">
        <f t="shared" si="14"/>
        <v/>
      </c>
      <c r="AL20" s="49" t="str">
        <f t="shared" si="15"/>
        <v/>
      </c>
      <c r="AM20" s="43" t="str">
        <f t="shared" si="16"/>
        <v/>
      </c>
    </row>
    <row r="21" spans="2:39" ht="15" customHeight="1">
      <c r="B21" s="2">
        <v>3</v>
      </c>
      <c r="G21" s="81"/>
      <c r="H21" s="81"/>
      <c r="I21" s="109" t="str">
        <f t="shared" si="17"/>
        <v/>
      </c>
      <c r="J21" s="110" t="str">
        <f t="shared" si="18"/>
        <v/>
      </c>
      <c r="K21" s="110" t="str">
        <f t="shared" si="0"/>
        <v/>
      </c>
      <c r="L21" s="143" t="str">
        <f t="shared" si="1"/>
        <v/>
      </c>
      <c r="M21" s="155" t="str">
        <f>IF(netto&lt;MWZPN,"","marzec")</f>
        <v/>
      </c>
      <c r="N21" s="144" t="str">
        <f t="shared" si="2"/>
        <v/>
      </c>
      <c r="O21" s="145">
        <f>SUM($Q$19:Q21)</f>
        <v>0</v>
      </c>
      <c r="P21" s="108" t="e">
        <f t="shared" si="3"/>
        <v>#VALUE!</v>
      </c>
      <c r="Q21" s="238" t="str">
        <f>IF(netto&lt;MWZPN,"",ROUND(IF(SUM($Q$19:Q20)+(netto-AD21*K_U_P-AB21)/((1-emeryt-rent-chorob)*(1-zdrow-AD21+zdrow_z_podatku))&lt;=brak_e_r,ROUND((N21-AD21*K_U_P-AB21)/((1-emeryt-rent-chorob)*(1-zdrow-AD21+zdrow_z_podatku)),2),IF(SUM($Q$19:Q20)+(netto-AD21*K_U_P-AB21)/((1-emeryt-rent-chorob)*(1-zdrow-AD21+zdrow_z_podatku))&lt;=brak_e_r+(netto-AD21*K_U_P-AB21)/((1-emeryt-rent-chorob)*(1-zdrow-AD21+zdrow_z_podatku)),ROUND(((netto-AD21*K_U_P-AB21)+(emeryt+rent)*(brak_e_r-SUM($Q$19:Q20))*(1-zdrow-AD21+zdrow_z_podatku))/((1-chorob)*(1-zdrow-AD21+zdrow_z_podatku)),2),ROUND((N21-AD21*K_U_P-AB21)/((1-chorob)*(1-zdrow-AD21+zdrow_z_podatku)),2))),0))</f>
        <v/>
      </c>
      <c r="R21" s="219" t="str">
        <f t="shared" si="4"/>
        <v/>
      </c>
      <c r="S21" s="82"/>
      <c r="T21" s="81"/>
      <c r="U21" s="81"/>
      <c r="V21" s="81"/>
      <c r="W21" s="81"/>
      <c r="X21" s="81"/>
      <c r="Y21" s="49" t="str">
        <f t="shared" si="5"/>
        <v/>
      </c>
      <c r="Z21" s="50" t="str">
        <f t="shared" si="6"/>
        <v/>
      </c>
      <c r="AA21" s="41">
        <f>IF(netto&lt;MWZPN,0,IF(SUM($Q$19:Q21)&lt;=brak_e_r,Q21,IF(SUM($Q$19:Q21)&lt;='umowa o pracę - netto'!brak_e_r+Q21,SUM($Q$19:Q21)-'umowa o pracę - netto'!brak_e_r,0)))</f>
        <v>0</v>
      </c>
      <c r="AB21" s="41">
        <f t="shared" si="7"/>
        <v>0</v>
      </c>
      <c r="AC21" s="15">
        <f>IF(netto&lt;MWZPN,0,IF(O20-SUM($L$19:L20)-K_U_P*B20&lt;=I_prog,1,2))</f>
        <v>0</v>
      </c>
      <c r="AD21" s="40">
        <f t="shared" si="8"/>
        <v>0</v>
      </c>
      <c r="AE21" s="46" t="str">
        <f>IF(netto&lt;MWZPN,"",IF(O20-SUM($L$19:L20)-K_U_P*B20&lt;=I_prog,ROUND(I_proc*ROUND((Q21-L21-K_U_P),0)-AB21-Z21,0),ROUND(II_proc*ROUND((Q21-L21-K_U_P),0)-AB21-Z21,0)))</f>
        <v/>
      </c>
      <c r="AF21" s="48" t="str">
        <f t="shared" si="9"/>
        <v/>
      </c>
      <c r="AG21" s="51" t="str">
        <f t="shared" si="10"/>
        <v/>
      </c>
      <c r="AH21" s="52" t="str">
        <f t="shared" si="11"/>
        <v/>
      </c>
      <c r="AI21" s="52" t="str">
        <f t="shared" si="12"/>
        <v/>
      </c>
      <c r="AJ21" s="53" t="str">
        <f t="shared" si="13"/>
        <v/>
      </c>
      <c r="AK21" s="49" t="str">
        <f t="shared" si="14"/>
        <v/>
      </c>
      <c r="AL21" s="49" t="str">
        <f t="shared" si="15"/>
        <v/>
      </c>
      <c r="AM21" s="43" t="str">
        <f t="shared" si="16"/>
        <v/>
      </c>
    </row>
    <row r="22" spans="2:39" ht="15" customHeight="1">
      <c r="B22" s="2">
        <v>4</v>
      </c>
      <c r="G22" s="81"/>
      <c r="H22" s="81"/>
      <c r="I22" s="109" t="str">
        <f t="shared" si="17"/>
        <v/>
      </c>
      <c r="J22" s="110" t="str">
        <f t="shared" si="18"/>
        <v/>
      </c>
      <c r="K22" s="110" t="str">
        <f t="shared" si="0"/>
        <v/>
      </c>
      <c r="L22" s="143" t="str">
        <f t="shared" si="1"/>
        <v/>
      </c>
      <c r="M22" s="155" t="str">
        <f>IF(netto&lt;MWZPN,"","kwiecień")</f>
        <v/>
      </c>
      <c r="N22" s="144" t="str">
        <f t="shared" si="2"/>
        <v/>
      </c>
      <c r="O22" s="145">
        <f>SUM($Q$19:Q22)</f>
        <v>0</v>
      </c>
      <c r="P22" s="108" t="e">
        <f t="shared" si="3"/>
        <v>#VALUE!</v>
      </c>
      <c r="Q22" s="238" t="str">
        <f>IF(netto&lt;MWZPN,"",ROUND(IF(SUM($Q$19:Q21)+(netto-AD22*K_U_P-AB22)/((1-emeryt-rent-chorob)*(1-zdrow-AD22+zdrow_z_podatku))&lt;=brak_e_r,ROUND((N22-AD22*K_U_P-AB22)/((1-emeryt-rent-chorob)*(1-zdrow-AD22+zdrow_z_podatku)),2),IF(SUM($Q$19:Q21)+(netto-AD22*K_U_P-AB22)/((1-emeryt-rent-chorob)*(1-zdrow-AD22+zdrow_z_podatku))&lt;=brak_e_r+(netto-AD22*K_U_P-AB22)/((1-emeryt-rent-chorob)*(1-zdrow-AD22+zdrow_z_podatku)),ROUND(((netto-AD22*K_U_P-AB22)+(emeryt+rent)*(brak_e_r-SUM($Q$19:Q21))*(1-zdrow-AD22+zdrow_z_podatku))/((1-chorob)*(1-zdrow-AD22+zdrow_z_podatku)),2),ROUND((N22-AD22*K_U_P-AB22)/((1-chorob)*(1-zdrow-AD22+zdrow_z_podatku)),2))),0))</f>
        <v/>
      </c>
      <c r="R22" s="219" t="str">
        <f t="shared" si="4"/>
        <v/>
      </c>
      <c r="S22" s="82"/>
      <c r="T22" s="81"/>
      <c r="U22" s="81"/>
      <c r="V22" s="81"/>
      <c r="W22" s="81"/>
      <c r="X22" s="81"/>
      <c r="Y22" s="49" t="str">
        <f t="shared" si="5"/>
        <v/>
      </c>
      <c r="Z22" s="50" t="str">
        <f t="shared" si="6"/>
        <v/>
      </c>
      <c r="AA22" s="41">
        <f>IF(netto&lt;MWZPN,0,IF(SUM($Q$19:Q22)&lt;=brak_e_r,Q22,IF(SUM($Q$19:Q22)&lt;='umowa o pracę - netto'!brak_e_r+Q22,SUM($Q$19:Q22)-'umowa o pracę - netto'!brak_e_r,0)))</f>
        <v>0</v>
      </c>
      <c r="AB22" s="41">
        <f t="shared" si="7"/>
        <v>0</v>
      </c>
      <c r="AC22" s="15">
        <f>IF(netto&lt;MWZPN,0,IF(O21-SUM($L$19:L21)-K_U_P*B21&lt;=I_prog,1,2))</f>
        <v>0</v>
      </c>
      <c r="AD22" s="40">
        <f t="shared" si="8"/>
        <v>0</v>
      </c>
      <c r="AE22" s="46" t="str">
        <f>IF(netto&lt;MWZPN,"",IF(O21-SUM($L$19:L21)-K_U_P*B21&lt;=I_prog,ROUND(I_proc*ROUND((Q22-L22-K_U_P),0)-AB22-Z22,0),ROUND(II_proc*ROUND((Q22-L22-K_U_P),0)-AB22-Z22,0)))</f>
        <v/>
      </c>
      <c r="AF22" s="48" t="str">
        <f t="shared" si="9"/>
        <v/>
      </c>
      <c r="AG22" s="51" t="str">
        <f t="shared" si="10"/>
        <v/>
      </c>
      <c r="AH22" s="52" t="str">
        <f t="shared" si="11"/>
        <v/>
      </c>
      <c r="AI22" s="52" t="str">
        <f t="shared" si="12"/>
        <v/>
      </c>
      <c r="AJ22" s="53" t="str">
        <f t="shared" si="13"/>
        <v/>
      </c>
      <c r="AK22" s="49" t="str">
        <f t="shared" si="14"/>
        <v/>
      </c>
      <c r="AL22" s="49" t="str">
        <f t="shared" si="15"/>
        <v/>
      </c>
      <c r="AM22" s="43" t="str">
        <f t="shared" si="16"/>
        <v/>
      </c>
    </row>
    <row r="23" spans="2:39" ht="15" customHeight="1">
      <c r="B23" s="2">
        <v>5</v>
      </c>
      <c r="G23" s="81"/>
      <c r="H23" s="81"/>
      <c r="I23" s="109" t="str">
        <f t="shared" si="17"/>
        <v/>
      </c>
      <c r="J23" s="110" t="str">
        <f t="shared" si="18"/>
        <v/>
      </c>
      <c r="K23" s="110" t="str">
        <f t="shared" si="0"/>
        <v/>
      </c>
      <c r="L23" s="143" t="str">
        <f t="shared" si="1"/>
        <v/>
      </c>
      <c r="M23" s="155" t="str">
        <f>IF(netto&lt;MWZPN,"","maj")</f>
        <v/>
      </c>
      <c r="N23" s="144" t="str">
        <f t="shared" si="2"/>
        <v/>
      </c>
      <c r="O23" s="145">
        <f>SUM($Q$19:Q23)</f>
        <v>0</v>
      </c>
      <c r="P23" s="108" t="e">
        <f t="shared" si="3"/>
        <v>#VALUE!</v>
      </c>
      <c r="Q23" s="238" t="str">
        <f>IF(netto&lt;MWZPN,"",ROUND(IF(SUM($Q$19:Q22)+(netto-AD23*K_U_P-AB23)/((1-emeryt-rent-chorob)*(1-zdrow-AD23+zdrow_z_podatku))&lt;=brak_e_r,ROUND((N23-AD23*K_U_P-AB23)/((1-emeryt-rent-chorob)*(1-zdrow-AD23+zdrow_z_podatku)),2),IF(SUM($Q$19:Q22)+(netto-AD23*K_U_P-AB23)/((1-emeryt-rent-chorob)*(1-zdrow-AD23+zdrow_z_podatku))&lt;=brak_e_r+(netto-AD23*K_U_P-AB23)/((1-emeryt-rent-chorob)*(1-zdrow-AD23+zdrow_z_podatku)),ROUND(((netto-AD23*K_U_P-AB23)+(emeryt+rent)*(brak_e_r-SUM($Q$19:Q22))*(1-zdrow-AD23+zdrow_z_podatku))/((1-chorob)*(1-zdrow-AD23+zdrow_z_podatku)),2),ROUND((N23-AD23*K_U_P-AB23)/((1-chorob)*(1-zdrow-AD23+zdrow_z_podatku)),2))),0))</f>
        <v/>
      </c>
      <c r="R23" s="219" t="str">
        <f t="shared" si="4"/>
        <v/>
      </c>
      <c r="S23" s="82"/>
      <c r="T23" s="81"/>
      <c r="U23" s="81"/>
      <c r="V23" s="81"/>
      <c r="W23" s="81"/>
      <c r="X23" s="81"/>
      <c r="Y23" s="49" t="str">
        <f t="shared" si="5"/>
        <v/>
      </c>
      <c r="Z23" s="50" t="str">
        <f t="shared" si="6"/>
        <v/>
      </c>
      <c r="AA23" s="41">
        <f>IF(netto&lt;MWZPN,0,IF(SUM($Q$19:Q23)&lt;=brak_e_r,Q23,IF(SUM($Q$19:Q23)&lt;='umowa o pracę - netto'!brak_e_r+Q23,SUM($Q$19:Q23)-'umowa o pracę - netto'!brak_e_r,0)))</f>
        <v>0</v>
      </c>
      <c r="AB23" s="41">
        <f t="shared" si="7"/>
        <v>0</v>
      </c>
      <c r="AC23" s="15">
        <f>IF(netto&lt;MWZPN,0,IF(O22-SUM($L$19:L22)-K_U_P*B22&lt;=I_prog,1,2))</f>
        <v>0</v>
      </c>
      <c r="AD23" s="40">
        <f t="shared" si="8"/>
        <v>0</v>
      </c>
      <c r="AE23" s="46" t="str">
        <f>IF(netto&lt;MWZPN,"",IF(O22-SUM($L$19:L22)-K_U_P*B22&lt;=I_prog,ROUND(I_proc*ROUND((Q23-L23-K_U_P),0)-AB23-Z23,0),ROUND(II_proc*ROUND((Q23-L23-K_U_P),0)-AB23-Z23,0)))</f>
        <v/>
      </c>
      <c r="AF23" s="48" t="str">
        <f t="shared" si="9"/>
        <v/>
      </c>
      <c r="AG23" s="51" t="str">
        <f t="shared" si="10"/>
        <v/>
      </c>
      <c r="AH23" s="52" t="str">
        <f t="shared" si="11"/>
        <v/>
      </c>
      <c r="AI23" s="52" t="str">
        <f t="shared" si="12"/>
        <v/>
      </c>
      <c r="AJ23" s="53" t="str">
        <f t="shared" si="13"/>
        <v/>
      </c>
      <c r="AK23" s="49" t="str">
        <f t="shared" si="14"/>
        <v/>
      </c>
      <c r="AL23" s="49" t="str">
        <f t="shared" si="15"/>
        <v/>
      </c>
      <c r="AM23" s="43" t="str">
        <f t="shared" si="16"/>
        <v/>
      </c>
    </row>
    <row r="24" spans="2:39" ht="15" customHeight="1">
      <c r="B24" s="2">
        <v>6</v>
      </c>
      <c r="G24" s="81"/>
      <c r="H24" s="81"/>
      <c r="I24" s="109" t="str">
        <f t="shared" si="17"/>
        <v/>
      </c>
      <c r="J24" s="110" t="str">
        <f t="shared" si="18"/>
        <v/>
      </c>
      <c r="K24" s="110" t="str">
        <f t="shared" si="0"/>
        <v/>
      </c>
      <c r="L24" s="143" t="str">
        <f t="shared" si="1"/>
        <v/>
      </c>
      <c r="M24" s="155" t="str">
        <f>IF(netto&lt;MWZPN,"","czerwiec")</f>
        <v/>
      </c>
      <c r="N24" s="144" t="str">
        <f t="shared" si="2"/>
        <v/>
      </c>
      <c r="O24" s="145">
        <f>SUM($Q$19:Q24)</f>
        <v>0</v>
      </c>
      <c r="P24" s="108" t="e">
        <f t="shared" si="3"/>
        <v>#VALUE!</v>
      </c>
      <c r="Q24" s="239" t="str">
        <f>IF(netto&lt;MWZPN,"",ROUND(IF(SUM($Q$19:Q23)+(netto-AD24*K_U_P-AB24)/((1-emeryt-rent-chorob)*(1-zdrow-AD24+zdrow_z_podatku))&lt;=brak_e_r,ROUND((N24-AD24*K_U_P-AB24)/((1-emeryt-rent-chorob)*(1-zdrow-AD24+zdrow_z_podatku)),2),IF(SUM($Q$19:Q23)+(netto-AD24*K_U_P-AB24)/((1-emeryt-rent-chorob)*(1-zdrow-AD24+zdrow_z_podatku))&lt;=brak_e_r+(netto-AD24*K_U_P-AB24)/((1-emeryt-rent-chorob)*(1-zdrow-AD24+zdrow_z_podatku)),ROUND(((netto-AD24*K_U_P-AB24)+(emeryt+rent)*(brak_e_r-SUM($Q$19:Q23))*(1-zdrow-AD24+zdrow_z_podatku))/((1-chorob)*(1-zdrow-AD24+zdrow_z_podatku)),2),ROUND((N24-AD24*K_U_P-AB24)/((1-chorob)*(1-zdrow-AD24+zdrow_z_podatku)),2))),0))</f>
        <v/>
      </c>
      <c r="R24" s="219" t="str">
        <f t="shared" si="4"/>
        <v/>
      </c>
      <c r="S24" s="82"/>
      <c r="T24" s="81"/>
      <c r="U24" s="81"/>
      <c r="V24" s="81"/>
      <c r="W24" s="81"/>
      <c r="X24" s="81"/>
      <c r="Y24" s="49" t="str">
        <f t="shared" si="5"/>
        <v/>
      </c>
      <c r="Z24" s="50" t="str">
        <f t="shared" si="6"/>
        <v/>
      </c>
      <c r="AA24" s="41">
        <f>IF(netto&lt;MWZPN,0,IF(SUM($Q$19:Q24)&lt;=brak_e_r,Q24,IF(SUM($Q$19:Q24)&lt;='umowa o pracę - netto'!brak_e_r+Q24,SUM($Q$19:Q24)-'umowa o pracę - netto'!brak_e_r,0)))</f>
        <v>0</v>
      </c>
      <c r="AB24" s="41">
        <f t="shared" si="7"/>
        <v>0</v>
      </c>
      <c r="AC24" s="15">
        <f>IF(netto&lt;MWZPN,0,IF(O23-SUM($L$19:L23)-K_U_P*B23&lt;=I_prog,1,2))</f>
        <v>0</v>
      </c>
      <c r="AD24" s="40">
        <f t="shared" si="8"/>
        <v>0</v>
      </c>
      <c r="AE24" s="46" t="str">
        <f>IF(netto&lt;MWZPN,"",IF(O23-SUM($L$19:L23)-K_U_P*B23&lt;=I_prog,ROUND(I_proc*ROUND((Q24-L24-K_U_P),0)-AB24-Z24,0),ROUND(II_proc*ROUND((Q24-L24-K_U_P),0)-AB24-Z24,0)))</f>
        <v/>
      </c>
      <c r="AF24" s="48" t="str">
        <f t="shared" si="9"/>
        <v/>
      </c>
      <c r="AG24" s="51" t="str">
        <f t="shared" si="10"/>
        <v/>
      </c>
      <c r="AH24" s="52" t="str">
        <f t="shared" si="11"/>
        <v/>
      </c>
      <c r="AI24" s="52" t="str">
        <f t="shared" si="12"/>
        <v/>
      </c>
      <c r="AJ24" s="53" t="str">
        <f t="shared" si="13"/>
        <v/>
      </c>
      <c r="AK24" s="49" t="str">
        <f t="shared" si="14"/>
        <v/>
      </c>
      <c r="AL24" s="49" t="str">
        <f t="shared" si="15"/>
        <v/>
      </c>
      <c r="AM24" s="43" t="str">
        <f t="shared" si="16"/>
        <v/>
      </c>
    </row>
    <row r="25" spans="2:39" ht="15" customHeight="1">
      <c r="B25" s="2">
        <v>7</v>
      </c>
      <c r="G25" s="81"/>
      <c r="H25" s="81"/>
      <c r="I25" s="109" t="str">
        <f t="shared" si="17"/>
        <v/>
      </c>
      <c r="J25" s="110" t="str">
        <f t="shared" si="18"/>
        <v/>
      </c>
      <c r="K25" s="110" t="str">
        <f t="shared" si="0"/>
        <v/>
      </c>
      <c r="L25" s="143" t="str">
        <f t="shared" si="1"/>
        <v/>
      </c>
      <c r="M25" s="155" t="str">
        <f>IF(netto&lt;MWZPN,"","lipiec")</f>
        <v/>
      </c>
      <c r="N25" s="144" t="str">
        <f t="shared" si="2"/>
        <v/>
      </c>
      <c r="O25" s="145">
        <f>SUM($Q$19:Q25)</f>
        <v>0</v>
      </c>
      <c r="P25" s="230" t="e">
        <f t="shared" si="3"/>
        <v>#VALUE!</v>
      </c>
      <c r="Q25" s="239" t="str">
        <f>IF(netto&lt;MWZPN,"",ROUND(IF(SUM($Q$19:Q24)+(netto-AD25*K_U_P-AB25)/((1-emeryt-rent-chorob)*(1-zdrow-AD25+zdrow_z_podatku))&lt;=brak_e_r,ROUND((N25-AD25*K_U_P-AB25)/((1-emeryt-rent-chorob)*(1-zdrow-AD25+zdrow_z_podatku)),2),IF(SUM($Q$19:Q24)+(netto-AD25*K_U_P-AB25)/((1-emeryt-rent-chorob)*(1-zdrow-AD25+zdrow_z_podatku))&lt;=brak_e_r+(netto-AD25*K_U_P-AB25)/((1-emeryt-rent-chorob)*(1-zdrow-AD25+zdrow_z_podatku)),ROUND(((netto-AD25*K_U_P-AB25)+(emeryt+rent)*(brak_e_r-SUM($Q$19:Q24))*(1-zdrow-AD25+zdrow_z_podatku))/((1-chorob)*(1-zdrow-AD25+zdrow_z_podatku)),2),ROUND((N25-AD25*K_U_P-AB25)/((1-chorob)*(1-zdrow-AD25+zdrow_z_podatku)),2))),0))</f>
        <v/>
      </c>
      <c r="R25" s="219" t="str">
        <f t="shared" si="4"/>
        <v/>
      </c>
      <c r="S25" s="82"/>
      <c r="T25" s="81"/>
      <c r="U25" s="81"/>
      <c r="V25" s="81"/>
      <c r="W25" s="81"/>
      <c r="X25" s="81"/>
      <c r="Y25" s="49" t="str">
        <f t="shared" si="5"/>
        <v/>
      </c>
      <c r="Z25" s="50" t="str">
        <f t="shared" si="6"/>
        <v/>
      </c>
      <c r="AA25" s="41">
        <f>IF(netto&lt;MWZPN,0,IF(SUM($Q$19:Q25)&lt;=brak_e_r,Q25,IF(SUM($Q$19:Q25)&lt;='umowa o pracę - netto'!brak_e_r+Q25,SUM($Q$19:Q25)-'umowa o pracę - netto'!brak_e_r,0)))</f>
        <v>0</v>
      </c>
      <c r="AB25" s="41">
        <f t="shared" si="7"/>
        <v>0</v>
      </c>
      <c r="AC25" s="15">
        <f>IF(netto&lt;MWZPN,0,IF(O24-SUM($L$19:L24)-K_U_P*B24&lt;=I_prog,1,2))</f>
        <v>0</v>
      </c>
      <c r="AD25" s="40">
        <f t="shared" si="8"/>
        <v>0</v>
      </c>
      <c r="AE25" s="46" t="str">
        <f>IF(netto&lt;MWZPN,"",IF(O24-SUM($L$19:L24)-K_U_P*B24&lt;=I_prog,ROUND(I_proc*ROUND((Q25-L25-K_U_P),0)-AB25-Z25,0),ROUND(II_proc*ROUND((Q25-L25-K_U_P),0)-AB25-Z25,0)))</f>
        <v/>
      </c>
      <c r="AF25" s="48" t="str">
        <f t="shared" si="9"/>
        <v/>
      </c>
      <c r="AG25" s="51" t="str">
        <f t="shared" si="10"/>
        <v/>
      </c>
      <c r="AH25" s="52" t="str">
        <f t="shared" si="11"/>
        <v/>
      </c>
      <c r="AI25" s="52" t="str">
        <f t="shared" si="12"/>
        <v/>
      </c>
      <c r="AJ25" s="53" t="str">
        <f t="shared" si="13"/>
        <v/>
      </c>
      <c r="AK25" s="49" t="str">
        <f t="shared" si="14"/>
        <v/>
      </c>
      <c r="AL25" s="49" t="str">
        <f t="shared" si="15"/>
        <v/>
      </c>
      <c r="AM25" s="43" t="str">
        <f t="shared" si="16"/>
        <v/>
      </c>
    </row>
    <row r="26" spans="2:39" ht="15" customHeight="1">
      <c r="B26" s="2">
        <v>8</v>
      </c>
      <c r="G26" s="81"/>
      <c r="H26" s="81"/>
      <c r="I26" s="109" t="str">
        <f t="shared" si="17"/>
        <v/>
      </c>
      <c r="J26" s="110" t="str">
        <f t="shared" si="18"/>
        <v/>
      </c>
      <c r="K26" s="110" t="str">
        <f t="shared" si="0"/>
        <v/>
      </c>
      <c r="L26" s="143" t="str">
        <f t="shared" si="1"/>
        <v/>
      </c>
      <c r="M26" s="155" t="str">
        <f>IF(netto&lt;MWZPN,"","sierpień")</f>
        <v/>
      </c>
      <c r="N26" s="144" t="str">
        <f t="shared" si="2"/>
        <v/>
      </c>
      <c r="O26" s="145">
        <f>SUM($Q$19:Q26)</f>
        <v>0</v>
      </c>
      <c r="P26" s="108" t="e">
        <f t="shared" si="3"/>
        <v>#VALUE!</v>
      </c>
      <c r="Q26" s="239" t="str">
        <f>IF(netto&lt;MWZPN,"",ROUND(IF(SUM($Q$19:Q25)+(netto-AD26*K_U_P-AB26)/((1-emeryt-rent-chorob)*(1-zdrow-AD26+zdrow_z_podatku))&lt;=brak_e_r,ROUND((N26-AD26*K_U_P-AB26)/((1-emeryt-rent-chorob)*(1-zdrow-AD26+zdrow_z_podatku)),2),IF(SUM($Q$19:Q25)+(netto-AD26*K_U_P-AB26)/((1-emeryt-rent-chorob)*(1-zdrow-AD26+zdrow_z_podatku))&lt;=brak_e_r+(netto-AD26*K_U_P-AB26)/((1-emeryt-rent-chorob)*(1-zdrow-AD26+zdrow_z_podatku)),ROUND(((netto-AD26*K_U_P-AB26)+(emeryt+rent)*(brak_e_r-SUM($Q$19:Q25))*(1-zdrow-AD26+zdrow_z_podatku))/((1-chorob)*(1-zdrow-AD26+zdrow_z_podatku)),2),ROUND((N26-AD26*K_U_P-AB26)/((1-chorob)*(1-zdrow-AD26+zdrow_z_podatku)),2))),0))</f>
        <v/>
      </c>
      <c r="R26" s="219" t="str">
        <f t="shared" si="4"/>
        <v/>
      </c>
      <c r="S26" s="82"/>
      <c r="T26" s="81"/>
      <c r="U26" s="81"/>
      <c r="V26" s="81"/>
      <c r="W26" s="81"/>
      <c r="X26" s="81"/>
      <c r="Y26" s="49" t="str">
        <f t="shared" si="5"/>
        <v/>
      </c>
      <c r="Z26" s="50" t="str">
        <f t="shared" si="6"/>
        <v/>
      </c>
      <c r="AA26" s="41">
        <f>IF(netto&lt;MWZPN,0,IF(SUM($Q$19:Q26)&lt;=brak_e_r,Q26,IF(SUM($Q$19:Q26)&lt;='umowa o pracę - netto'!brak_e_r+Q26,SUM($Q$19:Q26)-'umowa o pracę - netto'!brak_e_r,0)))</f>
        <v>0</v>
      </c>
      <c r="AB26" s="41">
        <f t="shared" si="7"/>
        <v>0</v>
      </c>
      <c r="AC26" s="15">
        <f>IF(netto&lt;MWZPN,0,IF(O25-SUM($L$19:L25)-K_U_P*B25&lt;=I_prog,1,2))</f>
        <v>0</v>
      </c>
      <c r="AD26" s="40">
        <f t="shared" si="8"/>
        <v>0</v>
      </c>
      <c r="AE26" s="46" t="str">
        <f>IF(netto&lt;MWZPN,"",IF(O25-SUM($L$19:L25)-K_U_P*B25&lt;=I_prog,ROUND(I_proc*ROUND((Q26-L26-K_U_P),0)-AB26-Z26,0),ROUND(II_proc*ROUND((Q26-L26-K_U_P),0)-AB26-Z26,0)))</f>
        <v/>
      </c>
      <c r="AF26" s="48" t="str">
        <f t="shared" si="9"/>
        <v/>
      </c>
      <c r="AG26" s="51" t="str">
        <f t="shared" si="10"/>
        <v/>
      </c>
      <c r="AH26" s="52" t="str">
        <f t="shared" si="11"/>
        <v/>
      </c>
      <c r="AI26" s="52" t="str">
        <f t="shared" si="12"/>
        <v/>
      </c>
      <c r="AJ26" s="53" t="str">
        <f t="shared" si="13"/>
        <v/>
      </c>
      <c r="AK26" s="49" t="str">
        <f t="shared" si="14"/>
        <v/>
      </c>
      <c r="AL26" s="49" t="str">
        <f t="shared" si="15"/>
        <v/>
      </c>
      <c r="AM26" s="43" t="str">
        <f t="shared" si="16"/>
        <v/>
      </c>
    </row>
    <row r="27" spans="2:39" ht="15" customHeight="1">
      <c r="B27" s="2">
        <v>9</v>
      </c>
      <c r="G27" s="81"/>
      <c r="H27" s="81"/>
      <c r="I27" s="109" t="str">
        <f t="shared" si="17"/>
        <v/>
      </c>
      <c r="J27" s="110" t="str">
        <f t="shared" si="18"/>
        <v/>
      </c>
      <c r="K27" s="110" t="str">
        <f t="shared" si="0"/>
        <v/>
      </c>
      <c r="L27" s="143" t="str">
        <f t="shared" si="1"/>
        <v/>
      </c>
      <c r="M27" s="155" t="str">
        <f>IF(netto&lt;MWZPN,"","wrzesień")</f>
        <v/>
      </c>
      <c r="N27" s="144" t="str">
        <f t="shared" si="2"/>
        <v/>
      </c>
      <c r="O27" s="145">
        <f>SUM($Q$19:Q27)</f>
        <v>0</v>
      </c>
      <c r="P27" s="108" t="e">
        <f t="shared" si="3"/>
        <v>#VALUE!</v>
      </c>
      <c r="Q27" s="238" t="str">
        <f>IF(netto&lt;MWZPN,"",ROUND(IF(SUM($Q$19:Q26)+(netto-AD27*K_U_P-AB27)/((1-emeryt-rent-chorob)*(1-zdrow-AD27+zdrow_z_podatku))&lt;=brak_e_r,ROUND((N27-AD27*K_U_P-AB27)/((1-emeryt-rent-chorob)*(1-zdrow-AD27+zdrow_z_podatku)),2),IF(SUM($Q$19:Q26)+(netto-AD27*K_U_P-AB27)/((1-emeryt-rent-chorob)*(1-zdrow-AD27+zdrow_z_podatku))&lt;=brak_e_r+(netto-AD27*K_U_P-AB27)/((1-emeryt-rent-chorob)*(1-zdrow-AD27+zdrow_z_podatku)),ROUND(((netto-AD27*K_U_P-AB27)+(emeryt+rent)*(brak_e_r-SUM($Q$19:Q26))*(1-zdrow-AD27+zdrow_z_podatku))/((1-chorob)*(1-zdrow-AD27+zdrow_z_podatku)),2),ROUND((N27-AD27*K_U_P-AB27)/((1-chorob)*(1-zdrow-AD27+zdrow_z_podatku)),2))),0))</f>
        <v/>
      </c>
      <c r="R27" s="219" t="str">
        <f t="shared" si="4"/>
        <v/>
      </c>
      <c r="S27" s="82"/>
      <c r="T27" s="81"/>
      <c r="U27" s="81"/>
      <c r="V27" s="81"/>
      <c r="W27" s="81"/>
      <c r="X27" s="81"/>
      <c r="Y27" s="49" t="str">
        <f t="shared" si="5"/>
        <v/>
      </c>
      <c r="Z27" s="50" t="str">
        <f t="shared" si="6"/>
        <v/>
      </c>
      <c r="AA27" s="41">
        <f>IF(netto&lt;MWZPN,0,IF(SUM($Q$19:Q27)&lt;=brak_e_r,Q27,IF(SUM($Q$19:Q27)&lt;='umowa o pracę - netto'!brak_e_r+Q27,SUM($Q$19:Q27)-'umowa o pracę - netto'!brak_e_r,0)))</f>
        <v>0</v>
      </c>
      <c r="AB27" s="41">
        <f t="shared" si="7"/>
        <v>0</v>
      </c>
      <c r="AC27" s="15">
        <f>IF(netto&lt;MWZPN,0,IF(O26-SUM($L$19:L26)-K_U_P*B26&lt;=I_prog,1,2))</f>
        <v>0</v>
      </c>
      <c r="AD27" s="40">
        <f t="shared" si="8"/>
        <v>0</v>
      </c>
      <c r="AE27" s="46" t="str">
        <f>IF(netto&lt;MWZPN,"",IF(O26-SUM($L$19:L26)-K_U_P*B26&lt;=I_prog,ROUND(I_proc*ROUND((Q27-L27-K_U_P),0)-AB27-Z27,0),ROUND(II_proc*ROUND((Q27-L27-K_U_P),0)-AB27-Z27,0)))</f>
        <v/>
      </c>
      <c r="AF27" s="48" t="str">
        <f t="shared" si="9"/>
        <v/>
      </c>
      <c r="AG27" s="51" t="str">
        <f t="shared" si="10"/>
        <v/>
      </c>
      <c r="AH27" s="52" t="str">
        <f t="shared" si="11"/>
        <v/>
      </c>
      <c r="AI27" s="52" t="str">
        <f t="shared" si="12"/>
        <v/>
      </c>
      <c r="AJ27" s="53" t="str">
        <f t="shared" si="13"/>
        <v/>
      </c>
      <c r="AK27" s="49" t="str">
        <f t="shared" si="14"/>
        <v/>
      </c>
      <c r="AL27" s="49" t="str">
        <f t="shared" si="15"/>
        <v/>
      </c>
      <c r="AM27" s="43" t="str">
        <f t="shared" si="16"/>
        <v/>
      </c>
    </row>
    <row r="28" spans="2:39" ht="15" customHeight="1">
      <c r="B28" s="2">
        <v>10</v>
      </c>
      <c r="G28" s="81"/>
      <c r="H28" s="81"/>
      <c r="I28" s="109" t="str">
        <f t="shared" si="17"/>
        <v/>
      </c>
      <c r="J28" s="110" t="str">
        <f t="shared" si="18"/>
        <v/>
      </c>
      <c r="K28" s="110" t="str">
        <f t="shared" si="0"/>
        <v/>
      </c>
      <c r="L28" s="143" t="str">
        <f t="shared" si="1"/>
        <v/>
      </c>
      <c r="M28" s="155" t="str">
        <f>IF(netto&lt;MWZPN,"","październik")</f>
        <v/>
      </c>
      <c r="N28" s="144" t="str">
        <f t="shared" si="2"/>
        <v/>
      </c>
      <c r="O28" s="145">
        <f>SUM($Q$19:Q28)</f>
        <v>0</v>
      </c>
      <c r="P28" s="108" t="e">
        <f t="shared" si="3"/>
        <v>#VALUE!</v>
      </c>
      <c r="Q28" s="238" t="str">
        <f>IF(netto&lt;MWZPN,"",ROUND(IF(SUM($Q$19:Q27)+(netto-AD28*K_U_P-AB28)/((1-emeryt-rent-chorob)*(1-zdrow-AD28+zdrow_z_podatku))&lt;=brak_e_r,ROUND((N28-AD28*K_U_P-AB28)/((1-emeryt-rent-chorob)*(1-zdrow-AD28+zdrow_z_podatku)),2),IF(SUM($Q$19:Q27)+(netto-AD28*K_U_P-AB28)/((1-emeryt-rent-chorob)*(1-zdrow-AD28+zdrow_z_podatku))&lt;=brak_e_r+(netto-AD28*K_U_P-AB28)/((1-emeryt-rent-chorob)*(1-zdrow-AD28+zdrow_z_podatku)),ROUND(((netto-AD28*K_U_P-AB28)+(emeryt+rent)*(brak_e_r-SUM($Q$19:Q27))*(1-zdrow-AD28+zdrow_z_podatku))/((1-chorob)*(1-zdrow-AD28+zdrow_z_podatku)),2),ROUND((N28-AD28*K_U_P-AB28)/((1-chorob)*(1-zdrow-AD28+zdrow_z_podatku)),2))),0))</f>
        <v/>
      </c>
      <c r="R28" s="219" t="str">
        <f t="shared" si="4"/>
        <v/>
      </c>
      <c r="S28" s="82"/>
      <c r="T28" s="81"/>
      <c r="U28" s="81"/>
      <c r="V28" s="81"/>
      <c r="W28" s="81"/>
      <c r="X28" s="81"/>
      <c r="Y28" s="49" t="str">
        <f t="shared" si="5"/>
        <v/>
      </c>
      <c r="Z28" s="50" t="str">
        <f t="shared" si="6"/>
        <v/>
      </c>
      <c r="AA28" s="41">
        <f>IF(netto&lt;MWZPN,0,IF(SUM($Q$19:Q28)&lt;=brak_e_r,Q28,IF(SUM($Q$19:Q28)&lt;='umowa o pracę - netto'!brak_e_r+Q28,SUM($Q$19:Q28)-'umowa o pracę - netto'!brak_e_r,0)))</f>
        <v>0</v>
      </c>
      <c r="AB28" s="41">
        <f t="shared" si="7"/>
        <v>0</v>
      </c>
      <c r="AC28" s="15">
        <f>IF(netto&lt;MWZPN,0,IF(O27-SUM($L$19:L27)-K_U_P*B27&lt;=I_prog,1,2))</f>
        <v>0</v>
      </c>
      <c r="AD28" s="40">
        <f t="shared" si="8"/>
        <v>0</v>
      </c>
      <c r="AE28" s="46" t="str">
        <f>IF(netto&lt;MWZPN,"",IF(O27-SUM($L$19:L27)-K_U_P*B27&lt;=I_prog,ROUND(I_proc*ROUND((Q28-L28-K_U_P),0)-AB28-Z28,0),ROUND(II_proc*ROUND((Q28-L28-K_U_P),0)-AB28-Z28,0)))</f>
        <v/>
      </c>
      <c r="AF28" s="48" t="str">
        <f t="shared" si="9"/>
        <v/>
      </c>
      <c r="AG28" s="51" t="str">
        <f t="shared" si="10"/>
        <v/>
      </c>
      <c r="AH28" s="52" t="str">
        <f t="shared" si="11"/>
        <v/>
      </c>
      <c r="AI28" s="52" t="str">
        <f t="shared" si="12"/>
        <v/>
      </c>
      <c r="AJ28" s="53" t="str">
        <f t="shared" si="13"/>
        <v/>
      </c>
      <c r="AK28" s="49" t="str">
        <f t="shared" si="14"/>
        <v/>
      </c>
      <c r="AL28" s="49" t="str">
        <f t="shared" si="15"/>
        <v/>
      </c>
      <c r="AM28" s="43" t="str">
        <f t="shared" si="16"/>
        <v/>
      </c>
    </row>
    <row r="29" spans="2:39" ht="15" customHeight="1">
      <c r="B29" s="2">
        <v>11</v>
      </c>
      <c r="G29" s="81"/>
      <c r="H29" s="81"/>
      <c r="I29" s="109" t="str">
        <f t="shared" si="17"/>
        <v/>
      </c>
      <c r="J29" s="110" t="str">
        <f t="shared" si="18"/>
        <v/>
      </c>
      <c r="K29" s="110" t="str">
        <f t="shared" si="0"/>
        <v/>
      </c>
      <c r="L29" s="143" t="str">
        <f t="shared" si="1"/>
        <v/>
      </c>
      <c r="M29" s="155" t="str">
        <f>IF(netto&lt;MWZPN,"","listopad")</f>
        <v/>
      </c>
      <c r="N29" s="144" t="str">
        <f t="shared" si="2"/>
        <v/>
      </c>
      <c r="O29" s="145">
        <f>SUM($Q$19:Q29)</f>
        <v>0</v>
      </c>
      <c r="P29" s="108" t="e">
        <f t="shared" si="3"/>
        <v>#VALUE!</v>
      </c>
      <c r="Q29" s="238" t="str">
        <f>IF(netto&lt;MWZPN,"",ROUND(IF(SUM($Q$19:Q28)+(netto-AD29*K_U_P-AB29)/((1-emeryt-rent-chorob)*(1-zdrow-AD29+zdrow_z_podatku))&lt;=brak_e_r,ROUND((N29-AD29*K_U_P-AB29)/((1-emeryt-rent-chorob)*(1-zdrow-AD29+zdrow_z_podatku)),2),IF(SUM($Q$19:Q28)+(netto-AD29*K_U_P-AB29)/((1-emeryt-rent-chorob)*(1-zdrow-AD29+zdrow_z_podatku))&lt;=brak_e_r+(netto-AD29*K_U_P-AB29)/((1-emeryt-rent-chorob)*(1-zdrow-AD29+zdrow_z_podatku)),ROUND(((netto-AD29*K_U_P-AB29)+(emeryt+rent)*(brak_e_r-SUM($Q$19:Q28))*(1-zdrow-AD29+zdrow_z_podatku))/((1-chorob)*(1-zdrow-AD29+zdrow_z_podatku)),2),ROUND((N29-AD29*K_U_P-AB29)/((1-chorob)*(1-zdrow-AD29+zdrow_z_podatku)),2))),0))</f>
        <v/>
      </c>
      <c r="R29" s="219" t="str">
        <f t="shared" si="4"/>
        <v/>
      </c>
      <c r="S29" s="82"/>
      <c r="T29" s="81"/>
      <c r="U29" s="81"/>
      <c r="V29" s="81"/>
      <c r="W29" s="81"/>
      <c r="X29" s="81"/>
      <c r="Y29" s="49" t="str">
        <f t="shared" si="5"/>
        <v/>
      </c>
      <c r="Z29" s="50" t="str">
        <f t="shared" si="6"/>
        <v/>
      </c>
      <c r="AA29" s="41">
        <f>IF(netto&lt;MWZPN,0,IF(SUM($Q$19:Q29)&lt;=brak_e_r,Q29,IF(SUM($Q$19:Q29)&lt;='umowa o pracę - netto'!brak_e_r+Q29,SUM($Q$19:Q29)-'umowa o pracę - netto'!brak_e_r,0)))</f>
        <v>0</v>
      </c>
      <c r="AB29" s="41">
        <f t="shared" si="7"/>
        <v>0</v>
      </c>
      <c r="AC29" s="15">
        <f>IF(netto&lt;MWZPN,0,IF(O28-SUM($L$19:L28)-K_U_P*B28&lt;=I_prog,1,2))</f>
        <v>0</v>
      </c>
      <c r="AD29" s="40">
        <f t="shared" si="8"/>
        <v>0</v>
      </c>
      <c r="AE29" s="46" t="str">
        <f>IF(netto&lt;MWZPN,"",IF(O28-SUM($L$19:L28)-K_U_P*B28&lt;=I_prog,ROUND(I_proc*ROUND((Q29-L29-K_U_P),0)-AB29-Z29,0),ROUND(II_proc*ROUND((Q29-L29-K_U_P),0)-AB29-Z29,0)))</f>
        <v/>
      </c>
      <c r="AF29" s="48" t="str">
        <f t="shared" si="9"/>
        <v/>
      </c>
      <c r="AG29" s="51" t="str">
        <f t="shared" si="10"/>
        <v/>
      </c>
      <c r="AH29" s="52" t="str">
        <f t="shared" si="11"/>
        <v/>
      </c>
      <c r="AI29" s="52" t="str">
        <f t="shared" si="12"/>
        <v/>
      </c>
      <c r="AJ29" s="53" t="str">
        <f t="shared" si="13"/>
        <v/>
      </c>
      <c r="AK29" s="49" t="str">
        <f t="shared" si="14"/>
        <v/>
      </c>
      <c r="AL29" s="49" t="str">
        <f t="shared" si="15"/>
        <v/>
      </c>
      <c r="AM29" s="43" t="str">
        <f t="shared" si="16"/>
        <v/>
      </c>
    </row>
    <row r="30" spans="2:39" ht="15" customHeight="1" thickBot="1">
      <c r="B30" s="2">
        <v>12</v>
      </c>
      <c r="G30" s="81"/>
      <c r="H30" s="81"/>
      <c r="I30" s="109" t="str">
        <f t="shared" si="17"/>
        <v/>
      </c>
      <c r="J30" s="110" t="str">
        <f t="shared" si="18"/>
        <v/>
      </c>
      <c r="K30" s="110" t="str">
        <f t="shared" si="0"/>
        <v/>
      </c>
      <c r="L30" s="146" t="str">
        <f t="shared" si="1"/>
        <v/>
      </c>
      <c r="M30" s="156" t="str">
        <f>IF(netto&lt;MWZPN,"","grudzień")</f>
        <v/>
      </c>
      <c r="N30" s="147" t="str">
        <f t="shared" si="2"/>
        <v/>
      </c>
      <c r="O30" s="145">
        <f>SUM($Q$19:Q30)</f>
        <v>0</v>
      </c>
      <c r="P30" s="108" t="e">
        <f t="shared" si="3"/>
        <v>#VALUE!</v>
      </c>
      <c r="Q30" s="238" t="str">
        <f>IF(netto&lt;MWZPN,"",ROUND(IF(SUM($Q$19:Q29)+(netto-AD30*K_U_P-AB30)/((1-emeryt-rent-chorob)*(1-zdrow-AD30+zdrow_z_podatku))&lt;=brak_e_r,ROUND((N30-AD30*K_U_P-AB30)/((1-emeryt-rent-chorob)*(1-zdrow-AD30+zdrow_z_podatku)),2),IF(SUM($Q$19:Q29)+(netto-AD30*K_U_P-AB30)/((1-emeryt-rent-chorob)*(1-zdrow-AD30+zdrow_z_podatku))&lt;=brak_e_r+(netto-AD30*K_U_P-AB30)/((1-emeryt-rent-chorob)*(1-zdrow-AD30+zdrow_z_podatku)),ROUND(((netto-AD30*K_U_P-AB30)+(emeryt+rent)*(brak_e_r-SUM($Q$19:Q29))*(1-zdrow-AD30+zdrow_z_podatku))/((1-chorob)*(1-zdrow-AD30+zdrow_z_podatku)),2),ROUND((N30-AD30*K_U_P-AB30)/((1-chorob)*(1-zdrow-AD30+zdrow_z_podatku)),2))),0))</f>
        <v/>
      </c>
      <c r="R30" s="219" t="str">
        <f t="shared" si="4"/>
        <v/>
      </c>
      <c r="S30" s="82"/>
      <c r="T30" s="81"/>
      <c r="U30" s="81"/>
      <c r="V30" s="81"/>
      <c r="W30" s="81"/>
      <c r="X30" s="81"/>
      <c r="Y30" s="49" t="str">
        <f t="shared" si="5"/>
        <v/>
      </c>
      <c r="Z30" s="50" t="str">
        <f t="shared" si="6"/>
        <v/>
      </c>
      <c r="AA30" s="41">
        <f>IF(netto&lt;MWZPN,0,IF(SUM($Q$19:Q30)&lt;=brak_e_r,Q30,IF(SUM($Q$19:Q30)&lt;='umowa o pracę - netto'!brak_e_r+Q30,SUM($Q$19:Q30)-'umowa o pracę - netto'!brak_e_r,0)))</f>
        <v>0</v>
      </c>
      <c r="AB30" s="41">
        <f t="shared" si="7"/>
        <v>0</v>
      </c>
      <c r="AC30" s="15">
        <f>IF(netto&lt;MWZPN,0,IF(O29-SUM($L$19:L29)-K_U_P*B29&lt;=I_prog,1,2))</f>
        <v>0</v>
      </c>
      <c r="AD30" s="40">
        <f t="shared" si="8"/>
        <v>0</v>
      </c>
      <c r="AE30" s="46" t="str">
        <f>IF(netto&lt;MWZPN,"",IF(O29-SUM($L$19:L29)-K_U_P*B29&lt;=I_prog,ROUND(I_proc*ROUND((Q30-L30-K_U_P),0)-AB30-Z30,0),ROUND(II_proc*ROUND((Q30-L30-K_U_P),0)-AB30-Z30,0)))</f>
        <v/>
      </c>
      <c r="AF30" s="59" t="str">
        <f t="shared" si="9"/>
        <v/>
      </c>
      <c r="AG30" s="54" t="str">
        <f t="shared" si="10"/>
        <v/>
      </c>
      <c r="AH30" s="55" t="str">
        <f t="shared" si="11"/>
        <v/>
      </c>
      <c r="AI30" s="52" t="str">
        <f t="shared" si="12"/>
        <v/>
      </c>
      <c r="AJ30" s="60" t="str">
        <f t="shared" si="13"/>
        <v/>
      </c>
      <c r="AK30" s="49" t="str">
        <f t="shared" si="14"/>
        <v/>
      </c>
      <c r="AL30" s="49" t="str">
        <f t="shared" si="15"/>
        <v/>
      </c>
      <c r="AM30" s="61" t="str">
        <f t="shared" si="16"/>
        <v/>
      </c>
    </row>
    <row r="31" spans="2:39" s="32" customFormat="1" ht="15" customHeight="1" thickBot="1">
      <c r="B31" s="2"/>
      <c r="G31" s="118"/>
      <c r="H31" s="118"/>
      <c r="I31" s="115" t="str">
        <f>IF(netto&lt;MWZPN,"",SUM(I19:I30))</f>
        <v/>
      </c>
      <c r="J31" s="116" t="str">
        <f>IF(netto&lt;MWZPN,"",SUM(J19:J30))</f>
        <v/>
      </c>
      <c r="K31" s="116" t="str">
        <f>IF(netto&lt;MWZPN,"",SUM(K19:K30))</f>
        <v/>
      </c>
      <c r="L31" s="117" t="str">
        <f>IF(netto&lt;MWZPN,"",SUM(L19:L30))</f>
        <v/>
      </c>
      <c r="M31" s="157" t="s">
        <v>42</v>
      </c>
      <c r="N31" s="158" t="str">
        <f>IF(netto&lt;MWZPN,"",SUM(N19:N30))</f>
        <v/>
      </c>
      <c r="O31" s="158">
        <f>O30</f>
        <v>0</v>
      </c>
      <c r="P31" s="158" t="str">
        <f>IF(netto&lt;MWZPN,"",SUM(P19:P30))</f>
        <v/>
      </c>
      <c r="Q31" s="240" t="str">
        <f>IF(netto&lt;MWZPN,"",SUM(Q19:Q30))</f>
        <v/>
      </c>
      <c r="R31" s="220" t="str">
        <f>IF(netto&lt;MWZPN,"",SUM(R19:R30))</f>
        <v/>
      </c>
      <c r="S31" s="118"/>
      <c r="T31" s="118"/>
      <c r="U31" s="118"/>
      <c r="V31" s="118"/>
      <c r="W31" s="118"/>
      <c r="X31" s="118"/>
      <c r="Y31" s="16" t="str">
        <f>IF(netto&lt;MWZPN,"",SUM(Y19:Y30))</f>
        <v/>
      </c>
      <c r="Z31" s="56" t="str">
        <f>IF(netto&lt;MWZPN,"",SUM(Z19:Z30))</f>
        <v/>
      </c>
      <c r="AA31" s="57"/>
      <c r="AB31" s="57"/>
      <c r="AC31" s="57"/>
      <c r="AD31" s="57"/>
      <c r="AE31" s="47" t="str">
        <f t="shared" ref="AE31:AM31" si="19">IF(netto&lt;MWZPN,"",SUM(AE19:AE30))</f>
        <v/>
      </c>
      <c r="AF31" s="44" t="str">
        <f t="shared" si="19"/>
        <v/>
      </c>
      <c r="AG31" s="17" t="str">
        <f t="shared" si="19"/>
        <v/>
      </c>
      <c r="AH31" s="18" t="str">
        <f t="shared" si="19"/>
        <v/>
      </c>
      <c r="AI31" s="18" t="str">
        <f t="shared" si="19"/>
        <v/>
      </c>
      <c r="AJ31" s="58" t="str">
        <f t="shared" si="19"/>
        <v/>
      </c>
      <c r="AK31" s="16" t="str">
        <f t="shared" si="19"/>
        <v/>
      </c>
      <c r="AL31" s="16" t="str">
        <f t="shared" si="19"/>
        <v/>
      </c>
      <c r="AM31" s="44" t="str">
        <f t="shared" si="19"/>
        <v/>
      </c>
    </row>
    <row r="32" spans="2:39" ht="6" customHeight="1" thickBot="1">
      <c r="G32" s="81"/>
      <c r="H32" s="81"/>
      <c r="I32" s="81"/>
      <c r="J32" s="81"/>
      <c r="K32" s="81"/>
      <c r="L32" s="81"/>
      <c r="M32" s="80"/>
      <c r="N32" s="81"/>
      <c r="O32" s="81"/>
      <c r="P32" s="81"/>
      <c r="Q32" s="81"/>
      <c r="R32" s="81"/>
      <c r="S32" s="82"/>
      <c r="T32" s="81"/>
      <c r="U32" s="81"/>
      <c r="V32" s="81"/>
      <c r="W32" s="81"/>
      <c r="X32" s="81"/>
    </row>
    <row r="33" spans="5:24" ht="13.5" thickBot="1">
      <c r="G33" s="81"/>
      <c r="H33" s="81"/>
      <c r="I33" s="81"/>
      <c r="J33" s="148" t="str">
        <f>IF(netto&lt;MWZPN,"",IF(netto="","""",(R31-N31)/R31))</f>
        <v/>
      </c>
      <c r="K33" s="149" t="s">
        <v>32</v>
      </c>
      <c r="L33" s="81"/>
      <c r="M33" s="80"/>
      <c r="N33" s="81"/>
      <c r="O33" s="81"/>
      <c r="P33" s="81"/>
      <c r="Q33" s="288" t="str">
        <f>IF(netto&lt;MWZPN,"",IF($AC$30&gt;=1,"I próg podatkowy",""))</f>
        <v/>
      </c>
      <c r="R33" s="288"/>
      <c r="S33" s="82"/>
      <c r="T33" s="81"/>
      <c r="U33" s="150"/>
      <c r="V33" s="81"/>
      <c r="W33" s="81"/>
      <c r="X33" s="81"/>
    </row>
    <row r="34" spans="5:24" ht="13.5" thickBot="1">
      <c r="G34" s="81"/>
      <c r="H34" s="81"/>
      <c r="I34" s="81"/>
      <c r="J34" s="148" t="str">
        <f>IF(netto&lt;MWZPN,"",IF(netto="","""",R31/N31))</f>
        <v/>
      </c>
      <c r="K34" s="149" t="s">
        <v>30</v>
      </c>
      <c r="L34" s="81"/>
      <c r="M34" s="80"/>
      <c r="N34" s="81"/>
      <c r="O34" s="81"/>
      <c r="P34" s="81"/>
      <c r="Q34" s="288" t="str">
        <f>IF(netto&lt;MWZPN,"",IF($AC$30&gt;=2,"II próg podatkowy",""))</f>
        <v/>
      </c>
      <c r="R34" s="288"/>
      <c r="S34" s="82"/>
      <c r="T34" s="81"/>
      <c r="U34" s="150"/>
      <c r="V34" s="81"/>
      <c r="W34" s="81"/>
      <c r="X34" s="81"/>
    </row>
    <row r="35" spans="5:24">
      <c r="F35" s="31"/>
    </row>
    <row r="36" spans="5:24">
      <c r="G36" s="307"/>
      <c r="H36" s="307"/>
    </row>
    <row r="37" spans="5:24">
      <c r="G37" s="31"/>
    </row>
    <row r="38" spans="5:24">
      <c r="F38" s="31"/>
      <c r="T38" s="1"/>
      <c r="U38" s="1"/>
      <c r="V38" s="1"/>
      <c r="W38" s="1"/>
      <c r="X38" s="1"/>
    </row>
    <row r="41" spans="5:24">
      <c r="T41" s="1"/>
      <c r="U41" s="1"/>
      <c r="V41" s="1"/>
      <c r="W41" s="1"/>
      <c r="X41" s="1"/>
    </row>
    <row r="42" spans="5:24">
      <c r="E42" s="33"/>
      <c r="F42" s="33"/>
      <c r="T42" s="1"/>
      <c r="U42" s="1"/>
      <c r="V42" s="1"/>
      <c r="W42" s="1"/>
      <c r="X42" s="1"/>
    </row>
    <row r="43" spans="5:24">
      <c r="T43" s="1"/>
      <c r="U43" s="1"/>
      <c r="V43" s="1"/>
      <c r="W43" s="1"/>
      <c r="X43" s="1"/>
    </row>
    <row r="44" spans="5:24">
      <c r="T44" s="1"/>
      <c r="U44" s="1"/>
      <c r="V44" s="1"/>
      <c r="W44" s="1"/>
      <c r="X44" s="1"/>
    </row>
    <row r="45" spans="5:24">
      <c r="T45" s="1"/>
      <c r="U45" s="1"/>
      <c r="V45" s="1"/>
      <c r="W45" s="1"/>
      <c r="X45" s="1"/>
    </row>
    <row r="46" spans="5:24">
      <c r="T46" s="1"/>
      <c r="U46" s="1"/>
      <c r="V46" s="1"/>
      <c r="W46" s="1"/>
      <c r="X46" s="1"/>
    </row>
    <row r="47" spans="5:24">
      <c r="T47" s="1"/>
      <c r="U47" s="1"/>
      <c r="V47" s="1"/>
      <c r="W47" s="1"/>
      <c r="X47" s="1"/>
    </row>
    <row r="48" spans="5:24">
      <c r="T48" s="1"/>
      <c r="U48" s="1"/>
      <c r="V48" s="1"/>
      <c r="W48" s="1"/>
      <c r="X48" s="1"/>
    </row>
    <row r="49" spans="20:24">
      <c r="T49" s="1"/>
      <c r="U49" s="1"/>
      <c r="V49" s="1"/>
      <c r="W49" s="1"/>
      <c r="X49" s="1"/>
    </row>
    <row r="50" spans="20:24">
      <c r="T50" s="1"/>
      <c r="U50" s="1"/>
      <c r="V50" s="1"/>
      <c r="W50" s="1"/>
      <c r="X50" s="1"/>
    </row>
    <row r="51" spans="20:24">
      <c r="T51" s="1"/>
      <c r="U51" s="1"/>
      <c r="V51" s="1"/>
      <c r="W51" s="1"/>
      <c r="X51" s="1"/>
    </row>
    <row r="52" spans="20:24">
      <c r="T52" s="1"/>
      <c r="U52" s="1"/>
      <c r="V52" s="1"/>
      <c r="W52" s="1"/>
      <c r="X52" s="1"/>
    </row>
    <row r="53" spans="20:24">
      <c r="T53" s="1"/>
      <c r="U53" s="1"/>
      <c r="V53" s="1"/>
      <c r="W53" s="1"/>
      <c r="X53" s="1"/>
    </row>
    <row r="54" spans="20:24">
      <c r="T54" s="1"/>
      <c r="U54" s="1"/>
      <c r="V54" s="1"/>
      <c r="W54" s="1"/>
      <c r="X54" s="1"/>
    </row>
    <row r="55" spans="20:24">
      <c r="T55" s="1"/>
      <c r="U55" s="1"/>
      <c r="V55" s="1"/>
      <c r="W55" s="1"/>
      <c r="X55" s="1"/>
    </row>
    <row r="56" spans="20:24">
      <c r="T56" s="1"/>
      <c r="U56" s="1"/>
      <c r="V56" s="1"/>
      <c r="W56" s="1"/>
      <c r="X56" s="1"/>
    </row>
    <row r="57" spans="20:24">
      <c r="T57" s="1"/>
      <c r="U57" s="1"/>
      <c r="V57" s="1"/>
      <c r="W57" s="1"/>
      <c r="X57" s="1"/>
    </row>
    <row r="58" spans="20:24">
      <c r="T58" s="1"/>
      <c r="U58" s="1"/>
      <c r="V58" s="1"/>
      <c r="W58" s="1"/>
      <c r="X58" s="1"/>
    </row>
    <row r="59" spans="20:24">
      <c r="T59" s="1"/>
      <c r="U59" s="1"/>
      <c r="V59" s="1"/>
      <c r="W59" s="1"/>
      <c r="X59" s="1"/>
    </row>
    <row r="60" spans="20:24">
      <c r="T60" s="1"/>
      <c r="U60" s="1"/>
      <c r="V60" s="1"/>
      <c r="W60" s="1"/>
      <c r="X60" s="1"/>
    </row>
    <row r="61" spans="20:24">
      <c r="T61" s="1"/>
      <c r="U61" s="1"/>
      <c r="V61" s="1"/>
      <c r="W61" s="1"/>
      <c r="X61" s="1"/>
    </row>
    <row r="62" spans="20:24">
      <c r="T62" s="1"/>
      <c r="U62" s="1"/>
      <c r="V62" s="1"/>
      <c r="W62" s="1"/>
      <c r="X62" s="1"/>
    </row>
    <row r="63" spans="20:24">
      <c r="T63" s="1"/>
      <c r="U63" s="1"/>
      <c r="V63" s="1"/>
      <c r="W63" s="1"/>
      <c r="X63" s="1"/>
    </row>
    <row r="64" spans="20:24">
      <c r="T64" s="1"/>
      <c r="U64" s="1"/>
      <c r="V64" s="1"/>
      <c r="W64" s="1"/>
      <c r="X64" s="1"/>
    </row>
    <row r="65" spans="20:24">
      <c r="T65" s="1"/>
      <c r="U65" s="1"/>
      <c r="V65" s="1"/>
      <c r="W65" s="1"/>
      <c r="X65" s="1"/>
    </row>
    <row r="66" spans="20:24">
      <c r="T66" s="1"/>
      <c r="U66" s="1"/>
      <c r="V66" s="1"/>
      <c r="W66" s="1"/>
      <c r="X66" s="1"/>
    </row>
    <row r="67" spans="20:24">
      <c r="T67" s="1"/>
      <c r="U67" s="1"/>
      <c r="V67" s="1"/>
      <c r="W67" s="1"/>
      <c r="X67" s="1"/>
    </row>
    <row r="68" spans="20:24">
      <c r="T68" s="1"/>
      <c r="U68" s="1"/>
      <c r="V68" s="1"/>
      <c r="W68" s="1"/>
      <c r="X68" s="1"/>
    </row>
    <row r="69" spans="20:24">
      <c r="T69" s="1"/>
      <c r="U69" s="1"/>
      <c r="V69" s="1"/>
      <c r="W69" s="1"/>
      <c r="X69" s="1"/>
    </row>
    <row r="70" spans="20:24">
      <c r="T70" s="1"/>
      <c r="U70" s="1"/>
      <c r="V70" s="1"/>
      <c r="W70" s="1"/>
      <c r="X70" s="1"/>
    </row>
    <row r="71" spans="20:24">
      <c r="T71" s="1"/>
      <c r="U71" s="1"/>
      <c r="V71" s="1"/>
      <c r="W71" s="1"/>
      <c r="X71" s="1"/>
    </row>
    <row r="72" spans="20:24">
      <c r="T72" s="1"/>
      <c r="U72" s="1"/>
      <c r="V72" s="1"/>
      <c r="W72" s="1"/>
      <c r="X72" s="1"/>
    </row>
    <row r="73" spans="20:24">
      <c r="T73" s="1"/>
      <c r="U73" s="1"/>
      <c r="V73" s="1"/>
      <c r="W73" s="1"/>
      <c r="X73" s="1"/>
    </row>
    <row r="74" spans="20:24">
      <c r="T74" s="1"/>
      <c r="U74" s="1"/>
      <c r="V74" s="1"/>
      <c r="W74" s="1"/>
      <c r="X74" s="1"/>
    </row>
    <row r="75" spans="20:24">
      <c r="T75" s="1"/>
      <c r="U75" s="1"/>
      <c r="V75" s="1"/>
      <c r="W75" s="1"/>
      <c r="X75" s="1"/>
    </row>
    <row r="76" spans="20:24">
      <c r="T76" s="1"/>
      <c r="U76" s="1"/>
      <c r="V76" s="1"/>
      <c r="W76" s="1"/>
      <c r="X76" s="1"/>
    </row>
    <row r="77" spans="20:24">
      <c r="T77" s="1"/>
      <c r="U77" s="1"/>
      <c r="V77" s="1"/>
      <c r="W77" s="1"/>
      <c r="X77" s="1"/>
    </row>
    <row r="78" spans="20:24">
      <c r="T78" s="1"/>
      <c r="U78" s="1"/>
      <c r="V78" s="1"/>
      <c r="W78" s="1"/>
      <c r="X78" s="1"/>
    </row>
    <row r="79" spans="20:24">
      <c r="T79" s="1"/>
      <c r="U79" s="1"/>
      <c r="V79" s="1"/>
      <c r="W79" s="1"/>
      <c r="X79" s="1"/>
    </row>
    <row r="80" spans="20:24">
      <c r="T80" s="1"/>
      <c r="U80" s="1"/>
      <c r="V80" s="1"/>
      <c r="W80" s="1"/>
      <c r="X80" s="1"/>
    </row>
    <row r="81" spans="20:24">
      <c r="T81" s="1"/>
      <c r="U81" s="1"/>
      <c r="V81" s="1"/>
      <c r="W81" s="1"/>
      <c r="X81" s="1"/>
    </row>
    <row r="82" spans="20:24">
      <c r="T82" s="1"/>
      <c r="U82" s="1"/>
      <c r="V82" s="1"/>
      <c r="W82" s="1"/>
      <c r="X82" s="1"/>
    </row>
    <row r="83" spans="20:24">
      <c r="T83" s="1"/>
      <c r="U83" s="1"/>
      <c r="V83" s="1"/>
      <c r="W83" s="1"/>
      <c r="X83" s="1"/>
    </row>
    <row r="84" spans="20:24">
      <c r="T84" s="1"/>
      <c r="U84" s="1"/>
      <c r="V84" s="1"/>
      <c r="W84" s="1"/>
      <c r="X84" s="1"/>
    </row>
    <row r="85" spans="20:24">
      <c r="T85" s="1"/>
      <c r="U85" s="1"/>
      <c r="V85" s="1"/>
      <c r="W85" s="1"/>
      <c r="X85" s="1"/>
    </row>
    <row r="86" spans="20:24">
      <c r="T86" s="1"/>
      <c r="U86" s="1"/>
      <c r="V86" s="1"/>
      <c r="W86" s="1"/>
      <c r="X86" s="1"/>
    </row>
    <row r="87" spans="20:24">
      <c r="T87" s="1"/>
      <c r="U87" s="1"/>
      <c r="V87" s="1"/>
      <c r="W87" s="1"/>
      <c r="X87" s="1"/>
    </row>
    <row r="88" spans="20:24">
      <c r="T88" s="1"/>
      <c r="U88" s="1"/>
      <c r="V88" s="1"/>
      <c r="W88" s="1"/>
      <c r="X88" s="1"/>
    </row>
    <row r="89" spans="20:24">
      <c r="T89" s="1"/>
      <c r="U89" s="1"/>
      <c r="V89" s="1"/>
      <c r="W89" s="1"/>
      <c r="X89" s="1"/>
    </row>
    <row r="90" spans="20:24">
      <c r="T90" s="1"/>
      <c r="U90" s="1"/>
      <c r="V90" s="1"/>
      <c r="W90" s="1"/>
      <c r="X90" s="1"/>
    </row>
    <row r="91" spans="20:24">
      <c r="T91" s="1"/>
      <c r="U91" s="1"/>
      <c r="V91" s="1"/>
      <c r="W91" s="1"/>
      <c r="X91" s="1"/>
    </row>
    <row r="92" spans="20:24">
      <c r="T92" s="1"/>
      <c r="U92" s="1"/>
      <c r="V92" s="1"/>
      <c r="W92" s="1"/>
      <c r="X92" s="1"/>
    </row>
    <row r="93" spans="20:24">
      <c r="T93" s="1"/>
      <c r="U93" s="1"/>
      <c r="V93" s="1"/>
      <c r="W93" s="1"/>
      <c r="X93" s="1"/>
    </row>
    <row r="94" spans="20:24">
      <c r="T94" s="1"/>
      <c r="U94" s="1"/>
      <c r="V94" s="1"/>
      <c r="W94" s="1"/>
      <c r="X94" s="1"/>
    </row>
    <row r="95" spans="20:24">
      <c r="T95" s="1"/>
      <c r="U95" s="1"/>
      <c r="V95" s="1"/>
      <c r="W95" s="1"/>
      <c r="X95" s="1"/>
    </row>
    <row r="96" spans="20:24">
      <c r="T96" s="1"/>
      <c r="U96" s="1"/>
      <c r="V96" s="1"/>
      <c r="W96" s="1"/>
      <c r="X96" s="1"/>
    </row>
    <row r="97" spans="20:24">
      <c r="T97" s="1"/>
      <c r="U97" s="1"/>
      <c r="V97" s="1"/>
      <c r="W97" s="1"/>
      <c r="X97" s="1"/>
    </row>
    <row r="98" spans="20:24">
      <c r="T98" s="1"/>
      <c r="U98" s="1"/>
      <c r="V98" s="1"/>
      <c r="W98" s="1"/>
      <c r="X98" s="1"/>
    </row>
    <row r="99" spans="20:24">
      <c r="T99" s="1"/>
      <c r="U99" s="1"/>
      <c r="V99" s="1"/>
      <c r="W99" s="1"/>
      <c r="X99" s="1"/>
    </row>
    <row r="100" spans="20:24">
      <c r="T100" s="1"/>
      <c r="U100" s="1"/>
      <c r="V100" s="1"/>
      <c r="W100" s="1"/>
      <c r="X100" s="1"/>
    </row>
    <row r="101" spans="20:24">
      <c r="T101" s="1"/>
      <c r="U101" s="1"/>
      <c r="V101" s="1"/>
      <c r="W101" s="1"/>
      <c r="X101" s="1"/>
    </row>
    <row r="102" spans="20:24">
      <c r="T102" s="1"/>
      <c r="U102" s="1"/>
      <c r="V102" s="1"/>
      <c r="W102" s="1"/>
      <c r="X102" s="1"/>
    </row>
    <row r="103" spans="20:24">
      <c r="T103" s="1"/>
      <c r="U103" s="1"/>
      <c r="V103" s="1"/>
      <c r="W103" s="1"/>
      <c r="X103" s="1"/>
    </row>
    <row r="104" spans="20:24">
      <c r="T104" s="1"/>
      <c r="U104" s="1"/>
      <c r="V104" s="1"/>
      <c r="W104" s="1"/>
      <c r="X104" s="1"/>
    </row>
    <row r="105" spans="20:24">
      <c r="T105" s="1"/>
      <c r="U105" s="1"/>
      <c r="V105" s="1"/>
      <c r="W105" s="1"/>
      <c r="X105" s="1"/>
    </row>
    <row r="106" spans="20:24">
      <c r="T106" s="1"/>
      <c r="U106" s="1"/>
      <c r="V106" s="1"/>
      <c r="W106" s="1"/>
      <c r="X106" s="1"/>
    </row>
    <row r="107" spans="20:24">
      <c r="T107" s="1"/>
      <c r="U107" s="1"/>
      <c r="V107" s="1"/>
      <c r="W107" s="1"/>
      <c r="X107" s="1"/>
    </row>
    <row r="108" spans="20:24">
      <c r="T108" s="1"/>
      <c r="U108" s="1"/>
      <c r="V108" s="1"/>
      <c r="W108" s="1"/>
      <c r="X108" s="1"/>
    </row>
    <row r="109" spans="20:24">
      <c r="T109" s="1"/>
      <c r="U109" s="1"/>
      <c r="V109" s="1"/>
      <c r="W109" s="1"/>
      <c r="X109" s="1"/>
    </row>
    <row r="110" spans="20:24">
      <c r="T110" s="1"/>
      <c r="U110" s="1"/>
      <c r="V110" s="1"/>
      <c r="W110" s="1"/>
      <c r="X110" s="1"/>
    </row>
    <row r="111" spans="20:24">
      <c r="T111" s="1"/>
      <c r="U111" s="1"/>
      <c r="V111" s="1"/>
      <c r="W111" s="1"/>
      <c r="X111" s="1"/>
    </row>
    <row r="112" spans="20:24">
      <c r="T112" s="1"/>
      <c r="U112" s="1"/>
      <c r="V112" s="1"/>
      <c r="W112" s="1"/>
      <c r="X112" s="1"/>
    </row>
    <row r="113" spans="20:24">
      <c r="T113" s="1"/>
      <c r="U113" s="1"/>
      <c r="V113" s="1"/>
      <c r="W113" s="1"/>
      <c r="X113" s="1"/>
    </row>
    <row r="114" spans="20:24">
      <c r="T114" s="1"/>
      <c r="U114" s="1"/>
      <c r="V114" s="1"/>
      <c r="W114" s="1"/>
      <c r="X114" s="1"/>
    </row>
    <row r="115" spans="20:24">
      <c r="T115" s="1"/>
      <c r="U115" s="1"/>
      <c r="V115" s="1"/>
      <c r="W115" s="1"/>
      <c r="X115" s="1"/>
    </row>
    <row r="116" spans="20:24">
      <c r="T116" s="1"/>
      <c r="U116" s="1"/>
      <c r="V116" s="1"/>
      <c r="W116" s="1"/>
      <c r="X116" s="1"/>
    </row>
    <row r="117" spans="20:24">
      <c r="T117" s="1"/>
      <c r="U117" s="1"/>
      <c r="V117" s="1"/>
      <c r="W117" s="1"/>
      <c r="X117" s="1"/>
    </row>
    <row r="118" spans="20:24">
      <c r="T118" s="1"/>
      <c r="U118" s="1"/>
      <c r="V118" s="1"/>
      <c r="W118" s="1"/>
      <c r="X118" s="1"/>
    </row>
    <row r="119" spans="20:24">
      <c r="T119" s="1"/>
      <c r="U119" s="1"/>
      <c r="V119" s="1"/>
      <c r="W119" s="1"/>
      <c r="X119" s="1"/>
    </row>
    <row r="120" spans="20:24">
      <c r="T120" s="1"/>
      <c r="U120" s="1"/>
      <c r="V120" s="1"/>
      <c r="W120" s="1"/>
      <c r="X120" s="1"/>
    </row>
    <row r="121" spans="20:24">
      <c r="T121" s="1"/>
      <c r="U121" s="1"/>
      <c r="V121" s="1"/>
      <c r="W121" s="1"/>
      <c r="X121" s="1"/>
    </row>
    <row r="122" spans="20:24">
      <c r="T122" s="1"/>
      <c r="U122" s="1"/>
      <c r="V122" s="1"/>
      <c r="W122" s="1"/>
      <c r="X122" s="1"/>
    </row>
    <row r="123" spans="20:24">
      <c r="T123" s="1"/>
      <c r="U123" s="1"/>
      <c r="V123" s="1"/>
      <c r="W123" s="1"/>
      <c r="X123" s="1"/>
    </row>
    <row r="124" spans="20:24">
      <c r="T124" s="1"/>
      <c r="U124" s="1"/>
      <c r="V124" s="1"/>
      <c r="W124" s="1"/>
      <c r="X124" s="1"/>
    </row>
    <row r="125" spans="20:24">
      <c r="T125" s="1"/>
      <c r="U125" s="1"/>
      <c r="V125" s="1"/>
      <c r="W125" s="1"/>
      <c r="X125" s="1"/>
    </row>
    <row r="126" spans="20:24">
      <c r="T126" s="1"/>
      <c r="U126" s="1"/>
      <c r="V126" s="1"/>
      <c r="W126" s="1"/>
      <c r="X126" s="1"/>
    </row>
    <row r="127" spans="20:24">
      <c r="T127" s="1"/>
      <c r="U127" s="1"/>
      <c r="V127" s="1"/>
      <c r="W127" s="1"/>
      <c r="X127" s="1"/>
    </row>
    <row r="128" spans="20:24">
      <c r="T128" s="1"/>
      <c r="U128" s="1"/>
      <c r="V128" s="1"/>
      <c r="W128" s="1"/>
      <c r="X128" s="1"/>
    </row>
    <row r="129" spans="20:24">
      <c r="T129" s="1"/>
      <c r="U129" s="1"/>
      <c r="V129" s="1"/>
      <c r="W129" s="1"/>
      <c r="X129" s="1"/>
    </row>
    <row r="130" spans="20:24">
      <c r="T130" s="1"/>
      <c r="U130" s="1"/>
      <c r="V130" s="1"/>
      <c r="W130" s="1"/>
      <c r="X130" s="1"/>
    </row>
    <row r="131" spans="20:24">
      <c r="T131" s="1"/>
      <c r="U131" s="1"/>
      <c r="V131" s="1"/>
      <c r="W131" s="1"/>
      <c r="X131" s="1"/>
    </row>
    <row r="132" spans="20:24">
      <c r="T132" s="1"/>
      <c r="U132" s="1"/>
      <c r="V132" s="1"/>
      <c r="W132" s="1"/>
      <c r="X132" s="1"/>
    </row>
    <row r="133" spans="20:24">
      <c r="T133" s="1"/>
      <c r="U133" s="1"/>
      <c r="V133" s="1"/>
      <c r="W133" s="1"/>
      <c r="X133" s="1"/>
    </row>
    <row r="134" spans="20:24">
      <c r="T134" s="1"/>
      <c r="U134" s="1"/>
      <c r="V134" s="1"/>
      <c r="W134" s="1"/>
      <c r="X134" s="1"/>
    </row>
    <row r="135" spans="20:24">
      <c r="T135" s="1"/>
      <c r="U135" s="1"/>
      <c r="V135" s="1"/>
      <c r="W135" s="1"/>
      <c r="X135" s="1"/>
    </row>
    <row r="136" spans="20:24">
      <c r="T136" s="1"/>
      <c r="U136" s="1"/>
      <c r="V136" s="1"/>
      <c r="W136" s="1"/>
      <c r="X136" s="1"/>
    </row>
    <row r="137" spans="20:24">
      <c r="T137" s="1"/>
      <c r="U137" s="1"/>
      <c r="V137" s="1"/>
      <c r="W137" s="1"/>
      <c r="X137" s="1"/>
    </row>
    <row r="138" spans="20:24">
      <c r="T138" s="1"/>
      <c r="U138" s="1"/>
      <c r="V138" s="1"/>
      <c r="W138" s="1"/>
      <c r="X138" s="1"/>
    </row>
    <row r="139" spans="20:24">
      <c r="T139" s="1"/>
      <c r="U139" s="1"/>
      <c r="V139" s="1"/>
      <c r="W139" s="1"/>
      <c r="X139" s="1"/>
    </row>
    <row r="140" spans="20:24">
      <c r="T140" s="1"/>
      <c r="U140" s="1"/>
      <c r="V140" s="1"/>
      <c r="W140" s="1"/>
      <c r="X140" s="1"/>
    </row>
    <row r="141" spans="20:24">
      <c r="T141" s="1"/>
      <c r="U141" s="1"/>
      <c r="V141" s="1"/>
      <c r="W141" s="1"/>
      <c r="X141" s="1"/>
    </row>
    <row r="142" spans="20:24">
      <c r="T142" s="1"/>
      <c r="U142" s="1"/>
      <c r="V142" s="1"/>
      <c r="W142" s="1"/>
      <c r="X142" s="1"/>
    </row>
    <row r="143" spans="20:24">
      <c r="T143" s="1"/>
      <c r="U143" s="1"/>
      <c r="V143" s="1"/>
      <c r="W143" s="1"/>
      <c r="X143" s="1"/>
    </row>
    <row r="144" spans="20:24">
      <c r="T144" s="1"/>
      <c r="U144" s="1"/>
      <c r="V144" s="1"/>
      <c r="W144" s="1"/>
      <c r="X144" s="1"/>
    </row>
    <row r="145" spans="20:24">
      <c r="T145" s="1"/>
      <c r="U145" s="1"/>
      <c r="V145" s="1"/>
      <c r="W145" s="1"/>
      <c r="X145" s="1"/>
    </row>
    <row r="146" spans="20:24">
      <c r="T146" s="1"/>
      <c r="U146" s="1"/>
      <c r="V146" s="1"/>
      <c r="W146" s="1"/>
      <c r="X146" s="1"/>
    </row>
    <row r="147" spans="20:24">
      <c r="T147" s="1"/>
      <c r="U147" s="1"/>
      <c r="V147" s="1"/>
      <c r="W147" s="1"/>
      <c r="X147" s="1"/>
    </row>
    <row r="148" spans="20:24">
      <c r="T148" s="1"/>
      <c r="U148" s="1"/>
      <c r="V148" s="1"/>
      <c r="W148" s="1"/>
      <c r="X148" s="1"/>
    </row>
    <row r="149" spans="20:24">
      <c r="T149" s="1"/>
      <c r="U149" s="1"/>
      <c r="V149" s="1"/>
      <c r="W149" s="1"/>
      <c r="X149" s="1"/>
    </row>
    <row r="150" spans="20:24">
      <c r="T150" s="1"/>
      <c r="U150" s="1"/>
      <c r="V150" s="1"/>
      <c r="W150" s="1"/>
      <c r="X150" s="1"/>
    </row>
    <row r="151" spans="20:24">
      <c r="T151" s="1"/>
      <c r="U151" s="1"/>
      <c r="V151" s="1"/>
      <c r="W151" s="1"/>
      <c r="X151" s="1"/>
    </row>
    <row r="152" spans="20:24">
      <c r="T152" s="1"/>
      <c r="U152" s="1"/>
      <c r="V152" s="1"/>
      <c r="W152" s="1"/>
      <c r="X152" s="1"/>
    </row>
    <row r="153" spans="20:24">
      <c r="T153" s="1"/>
      <c r="U153" s="1"/>
      <c r="V153" s="1"/>
      <c r="W153" s="1"/>
      <c r="X153" s="1"/>
    </row>
    <row r="154" spans="20:24">
      <c r="T154" s="1"/>
      <c r="U154" s="1"/>
      <c r="V154" s="1"/>
      <c r="W154" s="1"/>
      <c r="X154" s="1"/>
    </row>
    <row r="155" spans="20:24">
      <c r="T155" s="1"/>
      <c r="U155" s="1"/>
      <c r="V155" s="1"/>
      <c r="W155" s="1"/>
      <c r="X155" s="1"/>
    </row>
    <row r="156" spans="20:24">
      <c r="T156" s="1"/>
      <c r="U156" s="1"/>
      <c r="V156" s="1"/>
      <c r="W156" s="1"/>
      <c r="X156" s="1"/>
    </row>
    <row r="157" spans="20:24">
      <c r="T157" s="1"/>
      <c r="U157" s="1"/>
      <c r="V157" s="1"/>
      <c r="W157" s="1"/>
      <c r="X157" s="1"/>
    </row>
    <row r="158" spans="20:24">
      <c r="T158" s="1"/>
      <c r="U158" s="1"/>
      <c r="V158" s="1"/>
      <c r="W158" s="1"/>
      <c r="X158" s="1"/>
    </row>
    <row r="159" spans="20:24">
      <c r="T159" s="1"/>
      <c r="U159" s="1"/>
      <c r="V159" s="1"/>
      <c r="W159" s="1"/>
      <c r="X159" s="1"/>
    </row>
    <row r="160" spans="20:24">
      <c r="T160" s="1"/>
      <c r="U160" s="1"/>
      <c r="V160" s="1"/>
      <c r="W160" s="1"/>
      <c r="X160" s="1"/>
    </row>
    <row r="161" spans="20:24">
      <c r="T161" s="1"/>
      <c r="U161" s="1"/>
      <c r="V161" s="1"/>
      <c r="W161" s="1"/>
      <c r="X161" s="1"/>
    </row>
    <row r="162" spans="20:24">
      <c r="T162" s="1"/>
      <c r="U162" s="1"/>
      <c r="V162" s="1"/>
      <c r="W162" s="1"/>
      <c r="X162" s="1"/>
    </row>
    <row r="163" spans="20:24">
      <c r="T163" s="1"/>
      <c r="U163" s="1"/>
      <c r="V163" s="1"/>
      <c r="W163" s="1"/>
      <c r="X163" s="1"/>
    </row>
    <row r="164" spans="20:24">
      <c r="T164" s="1"/>
      <c r="U164" s="1"/>
      <c r="V164" s="1"/>
      <c r="W164" s="1"/>
      <c r="X164" s="1"/>
    </row>
    <row r="165" spans="20:24">
      <c r="T165" s="1"/>
      <c r="U165" s="1"/>
      <c r="V165" s="1"/>
      <c r="W165" s="1"/>
      <c r="X165" s="1"/>
    </row>
    <row r="166" spans="20:24">
      <c r="T166" s="1"/>
      <c r="U166" s="1"/>
      <c r="V166" s="1"/>
      <c r="W166" s="1"/>
      <c r="X166" s="1"/>
    </row>
    <row r="167" spans="20:24">
      <c r="T167" s="1"/>
      <c r="U167" s="1"/>
      <c r="V167" s="1"/>
      <c r="W167" s="1"/>
      <c r="X167" s="1"/>
    </row>
    <row r="168" spans="20:24">
      <c r="T168" s="1"/>
      <c r="U168" s="1"/>
      <c r="V168" s="1"/>
      <c r="W168" s="1"/>
      <c r="X168" s="1"/>
    </row>
    <row r="169" spans="20:24">
      <c r="T169" s="1"/>
      <c r="U169" s="1"/>
      <c r="V169" s="1"/>
      <c r="W169" s="1"/>
      <c r="X169" s="1"/>
    </row>
  </sheetData>
  <sheetProtection algorithmName="SHA-512" hashValue="14/piLG11LuSWsX9nKc3B9aFwxsw5ZLupzciOj/qST/k5GKAH7aiS+F0DXjJD1OTo6Pwd1ldlrbxvdyQn5XiZA==" saltValue="jjObH4Lku/U/yzxrfwcfOw==" spinCount="100000" sheet="1" objects="1" scenarios="1" selectLockedCells="1"/>
  <protectedRanges>
    <protectedRange sqref="Q8 U4:V5 AG18:AH18 AK18:AL18 I18:L18 Y18 P10" name="Zakres1"/>
  </protectedRanges>
  <mergeCells count="20">
    <mergeCell ref="Y16:Y17"/>
    <mergeCell ref="Q8:R8"/>
    <mergeCell ref="Q10:R10"/>
    <mergeCell ref="Q33:R33"/>
    <mergeCell ref="Q34:R34"/>
    <mergeCell ref="Q14:R14"/>
    <mergeCell ref="G36:H36"/>
    <mergeCell ref="M15:M17"/>
    <mergeCell ref="N15:N17"/>
    <mergeCell ref="Q15:Q17"/>
    <mergeCell ref="R15:R17"/>
    <mergeCell ref="P15:P17"/>
    <mergeCell ref="O15:O17"/>
    <mergeCell ref="I15:L15"/>
    <mergeCell ref="U5:V5"/>
    <mergeCell ref="U4:V4"/>
    <mergeCell ref="G5:T5"/>
    <mergeCell ref="G2:T2"/>
    <mergeCell ref="G3:T3"/>
    <mergeCell ref="G4:T4"/>
  </mergeCells>
  <conditionalFormatting sqref="AE19:AE30">
    <cfRule type="expression" dxfId="15" priority="12" stopIfTrue="1">
      <formula>IF(AC19=1,TRUE,FALSE)</formula>
    </cfRule>
    <cfRule type="expression" dxfId="14" priority="13" stopIfTrue="1">
      <formula>IF(AC19=2,TRUE,FALSE)</formula>
    </cfRule>
    <cfRule type="expression" dxfId="13" priority="14" stopIfTrue="1">
      <formula>IF(AC19=3,TRUE,FALSE)</formula>
    </cfRule>
  </conditionalFormatting>
  <conditionalFormatting sqref="AF19:AF31 Y19:Y31 AG19:AJ30 AK19:AM31 I19:L30 Z19:AB30 N19:R31">
    <cfRule type="expression" dxfId="12" priority="9" stopIfTrue="1">
      <formula>"L12=2"</formula>
    </cfRule>
  </conditionalFormatting>
  <conditionalFormatting sqref="AA19:AD30">
    <cfRule type="cellIs" dxfId="11" priority="6" stopIfTrue="1" operator="equal">
      <formula>2</formula>
    </cfRule>
    <cfRule type="cellIs" dxfId="10" priority="7" stopIfTrue="1" operator="equal">
      <formula>3</formula>
    </cfRule>
    <cfRule type="cellIs" dxfId="9" priority="8" stopIfTrue="1" operator="equal">
      <formula>4</formula>
    </cfRule>
  </conditionalFormatting>
  <conditionalFormatting sqref="H36">
    <cfRule type="expression" dxfId="8" priority="24" stopIfTrue="1">
      <formula>IF(AE30=4,TRUE,FALSE)</formula>
    </cfRule>
  </conditionalFormatting>
  <conditionalFormatting sqref="M19:M30">
    <cfRule type="expression" dxfId="7" priority="25" stopIfTrue="1">
      <formula>IF(AC19=1,TRUE,FALSE)</formula>
    </cfRule>
    <cfRule type="expression" dxfId="6" priority="26" stopIfTrue="1">
      <formula>IF(AC19=2,TRUE,FALSE)</formula>
    </cfRule>
    <cfRule type="expression" dxfId="5" priority="27" stopIfTrue="1">
      <formula>IF(AC19=3,TRUE,FALSE)</formula>
    </cfRule>
  </conditionalFormatting>
  <conditionalFormatting sqref="R34">
    <cfRule type="expression" dxfId="4" priority="28" stopIfTrue="1">
      <formula>IF(AE30&gt;=2,TRUE,FALSE)</formula>
    </cfRule>
  </conditionalFormatting>
  <conditionalFormatting sqref="R33">
    <cfRule type="expression" dxfId="3" priority="29" stopIfTrue="1">
      <formula>IF(AE30&gt;=1,TRUE,FALSE)</formula>
    </cfRule>
  </conditionalFormatting>
  <conditionalFormatting sqref="G36">
    <cfRule type="expression" dxfId="2" priority="32" stopIfTrue="1">
      <formula>IF(AC30=4,TRUE,FALSE)</formula>
    </cfRule>
  </conditionalFormatting>
  <conditionalFormatting sqref="Q34">
    <cfRule type="expression" dxfId="1" priority="33" stopIfTrue="1">
      <formula>IF(AC30&gt;=2,TRUE,FALSE)</formula>
    </cfRule>
  </conditionalFormatting>
  <conditionalFormatting sqref="Q33">
    <cfRule type="expression" dxfId="0" priority="34" stopIfTrue="1">
      <formula>IF(AC30&gt;=1,TRUE,FALSE)</formula>
    </cfRule>
  </conditionalFormatting>
  <printOptions horizontalCentered="1"/>
  <pageMargins left="0.19685039370078741" right="0.19685039370078741" top="0.39370078740157483" bottom="0.39370078740157483" header="0.51181102362204722" footer="0.51181102362204722"/>
  <pageSetup paperSize="9" orientation="landscape" r:id="rId1"/>
  <headerFooter alignWithMargins="0"/>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0"/>
  <sheetViews>
    <sheetView showGridLines="0" showRowColHeaders="0" workbookViewId="0">
      <selection activeCell="G67" sqref="G67"/>
    </sheetView>
  </sheetViews>
  <sheetFormatPr defaultRowHeight="12.75"/>
  <cols>
    <col min="2" max="2" width="2.28515625" customWidth="1"/>
    <col min="4" max="4" width="67.5703125" style="179" customWidth="1"/>
    <col min="6" max="6" width="8.85546875" style="178"/>
    <col min="7" max="7" width="15" style="184" customWidth="1"/>
  </cols>
  <sheetData>
    <row r="1" spans="2:7" ht="26.25">
      <c r="B1" s="331" t="s">
        <v>103</v>
      </c>
      <c r="C1" s="331"/>
      <c r="D1" s="331"/>
      <c r="E1" s="331"/>
      <c r="F1" s="331"/>
      <c r="G1" s="331"/>
    </row>
    <row r="2" spans="2:7" ht="25.9" customHeight="1">
      <c r="B2" s="186" t="s">
        <v>104</v>
      </c>
    </row>
    <row r="3" spans="2:7" s="175" customFormat="1" ht="37.9" customHeight="1">
      <c r="B3" s="332" t="s">
        <v>124</v>
      </c>
      <c r="C3" s="332"/>
      <c r="D3" s="332"/>
      <c r="E3" s="332"/>
      <c r="F3" s="332"/>
      <c r="G3" s="332"/>
    </row>
    <row r="4" spans="2:7" ht="60" customHeight="1">
      <c r="B4" s="332" t="s">
        <v>125</v>
      </c>
      <c r="C4" s="332"/>
      <c r="D4" s="332"/>
      <c r="E4" s="332"/>
      <c r="F4" s="332"/>
      <c r="G4" s="332"/>
    </row>
    <row r="5" spans="2:7">
      <c r="B5" s="333" t="s">
        <v>126</v>
      </c>
      <c r="C5" s="333"/>
      <c r="D5" s="333"/>
      <c r="E5" s="333"/>
      <c r="F5" s="333"/>
      <c r="G5" s="333"/>
    </row>
    <row r="7" spans="2:7" ht="16.5">
      <c r="B7" s="334" t="s">
        <v>70</v>
      </c>
      <c r="C7" s="334"/>
      <c r="D7" s="334"/>
      <c r="E7" s="334"/>
      <c r="F7" s="334"/>
      <c r="G7" s="334"/>
    </row>
    <row r="9" spans="2:7" ht="25.5">
      <c r="C9" s="185" t="s">
        <v>71</v>
      </c>
      <c r="D9" s="185" t="s">
        <v>119</v>
      </c>
      <c r="E9" s="185" t="s">
        <v>122</v>
      </c>
      <c r="F9" s="185" t="s">
        <v>120</v>
      </c>
      <c r="G9" s="187" t="s">
        <v>121</v>
      </c>
    </row>
    <row r="10" spans="2:7" ht="26.65" customHeight="1">
      <c r="C10" s="176">
        <v>1</v>
      </c>
      <c r="D10" s="180" t="s">
        <v>105</v>
      </c>
      <c r="E10" s="176" t="s">
        <v>72</v>
      </c>
      <c r="F10" s="182">
        <v>9</v>
      </c>
      <c r="G10" s="188">
        <v>2.53E-2</v>
      </c>
    </row>
    <row r="11" spans="2:7" ht="26.65" customHeight="1">
      <c r="C11" s="176">
        <v>2</v>
      </c>
      <c r="D11" s="180" t="s">
        <v>106</v>
      </c>
      <c r="E11" s="176" t="s">
        <v>73</v>
      </c>
      <c r="F11" s="182">
        <v>11</v>
      </c>
      <c r="G11" s="188">
        <v>3.0600000000000002E-2</v>
      </c>
    </row>
    <row r="12" spans="2:7" ht="26.65" customHeight="1">
      <c r="C12" s="176">
        <v>3</v>
      </c>
      <c r="D12" s="180" t="s">
        <v>74</v>
      </c>
      <c r="E12" s="176" t="s">
        <v>75</v>
      </c>
      <c r="F12" s="182">
        <v>7</v>
      </c>
      <c r="G12" s="188">
        <v>0.02</v>
      </c>
    </row>
    <row r="13" spans="2:7" ht="26.65" customHeight="1">
      <c r="C13" s="176">
        <v>4</v>
      </c>
      <c r="D13" s="180" t="s">
        <v>107</v>
      </c>
      <c r="E13" s="176" t="s">
        <v>76</v>
      </c>
      <c r="F13" s="182">
        <v>12</v>
      </c>
      <c r="G13" s="188">
        <v>3.3300000000000003E-2</v>
      </c>
    </row>
    <row r="14" spans="2:7" ht="26.65" customHeight="1">
      <c r="C14" s="176">
        <v>5</v>
      </c>
      <c r="D14" s="180" t="s">
        <v>108</v>
      </c>
      <c r="E14" s="176" t="s">
        <v>77</v>
      </c>
      <c r="F14" s="182">
        <v>13</v>
      </c>
      <c r="G14" s="188">
        <v>3.6000000000000004E-2</v>
      </c>
    </row>
    <row r="15" spans="2:7" ht="26.65" customHeight="1">
      <c r="C15" s="176">
        <v>6</v>
      </c>
      <c r="D15" s="180" t="s">
        <v>78</v>
      </c>
      <c r="E15" s="176" t="s">
        <v>79</v>
      </c>
      <c r="F15" s="182">
        <v>12</v>
      </c>
      <c r="G15" s="188">
        <v>3.3300000000000003E-2</v>
      </c>
    </row>
    <row r="16" spans="2:7" ht="26.65" customHeight="1">
      <c r="C16" s="176">
        <v>7</v>
      </c>
      <c r="D16" s="180" t="s">
        <v>109</v>
      </c>
      <c r="E16" s="176" t="s">
        <v>80</v>
      </c>
      <c r="F16" s="182">
        <v>8</v>
      </c>
      <c r="G16" s="188">
        <v>2.2599999999999999E-2</v>
      </c>
    </row>
    <row r="17" spans="3:7" ht="26.65" customHeight="1">
      <c r="C17" s="176">
        <v>8</v>
      </c>
      <c r="D17" s="180" t="s">
        <v>110</v>
      </c>
      <c r="E17" s="176" t="s">
        <v>81</v>
      </c>
      <c r="F17" s="182">
        <v>9</v>
      </c>
      <c r="G17" s="188">
        <v>2.53E-2</v>
      </c>
    </row>
    <row r="18" spans="3:7" ht="26.65" customHeight="1">
      <c r="C18" s="176">
        <v>9</v>
      </c>
      <c r="D18" s="180" t="s">
        <v>82</v>
      </c>
      <c r="E18" s="176" t="s">
        <v>83</v>
      </c>
      <c r="F18" s="182">
        <v>6</v>
      </c>
      <c r="G18" s="188">
        <v>1.7299999999999999E-2</v>
      </c>
    </row>
    <row r="19" spans="3:7" ht="26.65" customHeight="1">
      <c r="C19" s="176">
        <v>10</v>
      </c>
      <c r="D19" s="180" t="s">
        <v>84</v>
      </c>
      <c r="E19" s="176" t="s">
        <v>85</v>
      </c>
      <c r="F19" s="182">
        <v>6</v>
      </c>
      <c r="G19" s="188">
        <v>1.7299999999999999E-2</v>
      </c>
    </row>
    <row r="20" spans="3:7" ht="26.65" customHeight="1">
      <c r="C20" s="176">
        <v>11</v>
      </c>
      <c r="D20" s="180" t="s">
        <v>86</v>
      </c>
      <c r="E20" s="176" t="s">
        <v>87</v>
      </c>
      <c r="F20" s="182">
        <v>4</v>
      </c>
      <c r="G20" s="188">
        <v>1.2E-2</v>
      </c>
    </row>
    <row r="21" spans="3:7" ht="26.65" customHeight="1">
      <c r="C21" s="176">
        <v>12</v>
      </c>
      <c r="D21" s="180" t="s">
        <v>88</v>
      </c>
      <c r="E21" s="176" t="s">
        <v>89</v>
      </c>
      <c r="F21" s="182">
        <v>5</v>
      </c>
      <c r="G21" s="188">
        <v>1.47E-2</v>
      </c>
    </row>
    <row r="22" spans="3:7" ht="26.65" customHeight="1">
      <c r="C22" s="176">
        <v>13</v>
      </c>
      <c r="D22" s="180" t="s">
        <v>90</v>
      </c>
      <c r="E22" s="176" t="s">
        <v>91</v>
      </c>
      <c r="F22" s="182">
        <v>3</v>
      </c>
      <c r="G22" s="188">
        <v>9.300000000000001E-3</v>
      </c>
    </row>
    <row r="23" spans="3:7" ht="26.65" customHeight="1">
      <c r="C23" s="176">
        <v>14</v>
      </c>
      <c r="D23" s="180" t="s">
        <v>111</v>
      </c>
      <c r="E23" s="176" t="s">
        <v>92</v>
      </c>
      <c r="F23" s="182">
        <v>3</v>
      </c>
      <c r="G23" s="188">
        <v>9.300000000000001E-3</v>
      </c>
    </row>
    <row r="24" spans="3:7" ht="26.65" customHeight="1">
      <c r="C24" s="177">
        <v>15</v>
      </c>
      <c r="D24" s="181" t="s">
        <v>123</v>
      </c>
      <c r="E24" s="177" t="s">
        <v>93</v>
      </c>
      <c r="F24" s="183">
        <v>8</v>
      </c>
      <c r="G24" s="188">
        <v>2.2599999999999999E-2</v>
      </c>
    </row>
    <row r="25" spans="3:7" ht="26.65" customHeight="1">
      <c r="C25" s="176">
        <v>16</v>
      </c>
      <c r="D25" s="180" t="s">
        <v>112</v>
      </c>
      <c r="E25" s="176" t="s">
        <v>94</v>
      </c>
      <c r="F25" s="182">
        <v>6</v>
      </c>
      <c r="G25" s="188">
        <v>1.7299999999999999E-2</v>
      </c>
    </row>
    <row r="26" spans="3:7" ht="26.65" customHeight="1">
      <c r="C26" s="176">
        <v>17</v>
      </c>
      <c r="D26" s="180" t="s">
        <v>113</v>
      </c>
      <c r="E26" s="176" t="s">
        <v>95</v>
      </c>
      <c r="F26" s="182">
        <v>4</v>
      </c>
      <c r="G26" s="188">
        <v>1.2E-2</v>
      </c>
    </row>
    <row r="27" spans="3:7" ht="26.65" customHeight="1">
      <c r="C27" s="176">
        <v>18</v>
      </c>
      <c r="D27" s="180" t="s">
        <v>114</v>
      </c>
      <c r="E27" s="176" t="s">
        <v>96</v>
      </c>
      <c r="F27" s="182">
        <v>6</v>
      </c>
      <c r="G27" s="188">
        <v>1.7299999999999999E-2</v>
      </c>
    </row>
    <row r="28" spans="3:7" ht="26.65" customHeight="1">
      <c r="C28" s="176">
        <v>19</v>
      </c>
      <c r="D28" s="180" t="s">
        <v>115</v>
      </c>
      <c r="E28" s="176" t="s">
        <v>97</v>
      </c>
      <c r="F28" s="182">
        <v>6</v>
      </c>
      <c r="G28" s="188">
        <v>1.7299999999999999E-2</v>
      </c>
    </row>
    <row r="29" spans="3:7" ht="26.65" customHeight="1">
      <c r="C29" s="176">
        <v>20</v>
      </c>
      <c r="D29" s="180" t="s">
        <v>116</v>
      </c>
      <c r="E29" s="176" t="s">
        <v>98</v>
      </c>
      <c r="F29" s="182">
        <v>4</v>
      </c>
      <c r="G29" s="188">
        <v>1.2E-2</v>
      </c>
    </row>
    <row r="30" spans="3:7" ht="26.65" customHeight="1">
      <c r="C30" s="176">
        <v>21</v>
      </c>
      <c r="D30" s="180" t="s">
        <v>117</v>
      </c>
      <c r="E30" s="176" t="s">
        <v>99</v>
      </c>
      <c r="F30" s="182">
        <v>6</v>
      </c>
      <c r="G30" s="188">
        <v>1.7299999999999999E-2</v>
      </c>
    </row>
    <row r="31" spans="3:7" ht="26.65" customHeight="1">
      <c r="C31" s="176">
        <v>22</v>
      </c>
      <c r="D31" s="180" t="s">
        <v>118</v>
      </c>
      <c r="E31" s="176" t="s">
        <v>100</v>
      </c>
      <c r="F31" s="182">
        <v>8</v>
      </c>
      <c r="G31" s="188">
        <v>2.2599999999999999E-2</v>
      </c>
    </row>
    <row r="32" spans="3:7" ht="26.65" customHeight="1">
      <c r="C32" s="176">
        <v>23</v>
      </c>
      <c r="D32" s="208" t="s">
        <v>101</v>
      </c>
      <c r="E32" s="176" t="s">
        <v>102</v>
      </c>
      <c r="F32" s="182">
        <v>10</v>
      </c>
      <c r="G32" s="188">
        <v>2.7999999999999997E-2</v>
      </c>
    </row>
    <row r="33" spans="3:7" ht="26.65" customHeight="1">
      <c r="C33" s="176">
        <v>24</v>
      </c>
      <c r="D33" s="208" t="s">
        <v>127</v>
      </c>
      <c r="E33" s="176" t="s">
        <v>128</v>
      </c>
      <c r="F33" s="176">
        <v>7</v>
      </c>
      <c r="G33" s="188">
        <v>0.02</v>
      </c>
    </row>
    <row r="34" spans="3:7" ht="26.65" customHeight="1">
      <c r="C34" s="176">
        <v>25</v>
      </c>
      <c r="D34" s="208" t="s">
        <v>129</v>
      </c>
      <c r="E34" s="176" t="s">
        <v>130</v>
      </c>
      <c r="F34" s="176">
        <v>4</v>
      </c>
      <c r="G34" s="188">
        <v>1.2E-2</v>
      </c>
    </row>
    <row r="35" spans="3:7" ht="26.65" customHeight="1">
      <c r="C35" s="176">
        <v>26</v>
      </c>
      <c r="D35" s="208" t="s">
        <v>131</v>
      </c>
      <c r="E35" s="176" t="s">
        <v>132</v>
      </c>
      <c r="F35" s="176">
        <v>5</v>
      </c>
      <c r="G35" s="209">
        <v>1.47E-2</v>
      </c>
    </row>
    <row r="36" spans="3:7" ht="26.65" customHeight="1">
      <c r="C36" s="176">
        <v>27</v>
      </c>
      <c r="D36" s="208" t="s">
        <v>133</v>
      </c>
      <c r="E36" s="176" t="s">
        <v>134</v>
      </c>
      <c r="F36" s="176">
        <v>7</v>
      </c>
      <c r="G36" s="188">
        <v>0.02</v>
      </c>
    </row>
    <row r="37" spans="3:7" ht="26.65" customHeight="1">
      <c r="C37" s="176">
        <v>28</v>
      </c>
      <c r="D37" s="208" t="s">
        <v>135</v>
      </c>
      <c r="E37" s="176" t="s">
        <v>136</v>
      </c>
      <c r="F37" s="176">
        <v>6</v>
      </c>
      <c r="G37" s="188">
        <v>1.7299999999999999E-2</v>
      </c>
    </row>
    <row r="38" spans="3:7" ht="26.65" customHeight="1">
      <c r="C38" s="176">
        <v>29</v>
      </c>
      <c r="D38" s="208" t="s">
        <v>137</v>
      </c>
      <c r="E38" s="176" t="s">
        <v>138</v>
      </c>
      <c r="F38" s="176">
        <v>7</v>
      </c>
      <c r="G38" s="188">
        <v>0.02</v>
      </c>
    </row>
    <row r="39" spans="3:7" ht="26.65" customHeight="1">
      <c r="C39" s="176">
        <v>30</v>
      </c>
      <c r="D39" s="208" t="s">
        <v>139</v>
      </c>
      <c r="E39" s="176" t="s">
        <v>140</v>
      </c>
      <c r="F39" s="176">
        <v>6</v>
      </c>
      <c r="G39" s="188">
        <v>1.7299999999999999E-2</v>
      </c>
    </row>
    <row r="40" spans="3:7" ht="26.65" customHeight="1">
      <c r="C40" s="176">
        <v>31</v>
      </c>
      <c r="D40" s="208" t="s">
        <v>141</v>
      </c>
      <c r="E40" s="176" t="s">
        <v>142</v>
      </c>
      <c r="F40" s="176">
        <v>4</v>
      </c>
      <c r="G40" s="188">
        <v>1.2E-2</v>
      </c>
    </row>
    <row r="41" spans="3:7" ht="26.65" customHeight="1">
      <c r="C41" s="176">
        <v>32</v>
      </c>
      <c r="D41" s="208" t="s">
        <v>143</v>
      </c>
      <c r="E41" s="176" t="s">
        <v>144</v>
      </c>
      <c r="F41" s="176">
        <v>6</v>
      </c>
      <c r="G41" s="188">
        <v>1.7299999999999999E-2</v>
      </c>
    </row>
    <row r="42" spans="3:7" ht="26.65" customHeight="1">
      <c r="C42" s="176">
        <v>33</v>
      </c>
      <c r="D42" s="208" t="s">
        <v>145</v>
      </c>
      <c r="E42" s="176" t="s">
        <v>146</v>
      </c>
      <c r="F42" s="176">
        <v>5</v>
      </c>
      <c r="G42" s="209">
        <v>1.47E-2</v>
      </c>
    </row>
    <row r="43" spans="3:7" ht="26.65" customHeight="1">
      <c r="C43" s="176">
        <v>34</v>
      </c>
      <c r="D43" s="208" t="s">
        <v>147</v>
      </c>
      <c r="E43" s="176" t="s">
        <v>148</v>
      </c>
      <c r="F43" s="176">
        <v>5</v>
      </c>
      <c r="G43" s="209">
        <v>1.47E-2</v>
      </c>
    </row>
    <row r="44" spans="3:7" ht="26.65" customHeight="1">
      <c r="C44" s="176">
        <v>35</v>
      </c>
      <c r="D44" s="208" t="s">
        <v>149</v>
      </c>
      <c r="E44" s="176" t="s">
        <v>150</v>
      </c>
      <c r="F44" s="176">
        <v>6</v>
      </c>
      <c r="G44" s="188">
        <v>1.7299999999999999E-2</v>
      </c>
    </row>
    <row r="45" spans="3:7" ht="26.65" customHeight="1">
      <c r="C45" s="176">
        <v>36</v>
      </c>
      <c r="D45" s="208" t="s">
        <v>151</v>
      </c>
      <c r="E45" s="176" t="s">
        <v>152</v>
      </c>
      <c r="F45" s="176">
        <v>7</v>
      </c>
      <c r="G45" s="188">
        <v>0.02</v>
      </c>
    </row>
    <row r="46" spans="3:7" ht="26.65" customHeight="1">
      <c r="C46" s="176">
        <v>37</v>
      </c>
      <c r="D46" s="208" t="s">
        <v>153</v>
      </c>
      <c r="E46" s="176" t="s">
        <v>154</v>
      </c>
      <c r="F46" s="176">
        <v>4</v>
      </c>
      <c r="G46" s="188">
        <v>1.2E-2</v>
      </c>
    </row>
    <row r="47" spans="3:7" ht="26.65" customHeight="1">
      <c r="C47" s="176">
        <v>38</v>
      </c>
      <c r="D47" s="208" t="s">
        <v>155</v>
      </c>
      <c r="E47" s="176" t="s">
        <v>156</v>
      </c>
      <c r="F47" s="176">
        <v>5</v>
      </c>
      <c r="G47" s="209">
        <v>1.47E-2</v>
      </c>
    </row>
    <row r="48" spans="3:7" ht="26.65" customHeight="1">
      <c r="C48" s="176">
        <v>39</v>
      </c>
      <c r="D48" s="208" t="s">
        <v>157</v>
      </c>
      <c r="E48" s="176" t="s">
        <v>158</v>
      </c>
      <c r="F48" s="176">
        <v>7</v>
      </c>
      <c r="G48" s="188">
        <v>0.02</v>
      </c>
    </row>
    <row r="49" spans="3:7" ht="26.65" customHeight="1">
      <c r="C49" s="176">
        <v>40</v>
      </c>
      <c r="D49" s="208" t="s">
        <v>159</v>
      </c>
      <c r="E49" s="176" t="s">
        <v>160</v>
      </c>
      <c r="F49" s="176">
        <v>5</v>
      </c>
      <c r="G49" s="209">
        <v>1.47E-2</v>
      </c>
    </row>
    <row r="50" spans="3:7" ht="26.65" customHeight="1">
      <c r="C50" s="176">
        <v>41</v>
      </c>
      <c r="D50" s="208" t="s">
        <v>161</v>
      </c>
      <c r="E50" s="176" t="s">
        <v>162</v>
      </c>
      <c r="F50" s="176">
        <v>3</v>
      </c>
      <c r="G50" s="188">
        <v>9.300000000000001E-3</v>
      </c>
    </row>
    <row r="51" spans="3:7" ht="26.65" customHeight="1">
      <c r="C51" s="176">
        <v>42</v>
      </c>
      <c r="D51" s="208" t="s">
        <v>163</v>
      </c>
      <c r="E51" s="176" t="s">
        <v>164</v>
      </c>
      <c r="F51" s="176">
        <v>3</v>
      </c>
      <c r="G51" s="188">
        <v>9.300000000000001E-3</v>
      </c>
    </row>
    <row r="52" spans="3:7" ht="26.65" customHeight="1">
      <c r="C52" s="176">
        <v>43</v>
      </c>
      <c r="D52" s="208" t="s">
        <v>165</v>
      </c>
      <c r="E52" s="176" t="s">
        <v>166</v>
      </c>
      <c r="F52" s="176">
        <v>3</v>
      </c>
      <c r="G52" s="188">
        <v>9.300000000000001E-3</v>
      </c>
    </row>
    <row r="53" spans="3:7" ht="26.65" customHeight="1">
      <c r="C53" s="176">
        <v>44</v>
      </c>
      <c r="D53" s="208" t="s">
        <v>167</v>
      </c>
      <c r="E53" s="176" t="s">
        <v>168</v>
      </c>
      <c r="F53" s="176">
        <v>4</v>
      </c>
      <c r="G53" s="188">
        <v>1.2E-2</v>
      </c>
    </row>
    <row r="54" spans="3:7" ht="26.65" customHeight="1">
      <c r="C54" s="176">
        <v>45</v>
      </c>
      <c r="D54" s="208" t="s">
        <v>169</v>
      </c>
      <c r="E54" s="176" t="s">
        <v>170</v>
      </c>
      <c r="F54" s="176">
        <v>6</v>
      </c>
      <c r="G54" s="188">
        <v>1.7299999999999999E-2</v>
      </c>
    </row>
    <row r="55" spans="3:7" ht="26.65" customHeight="1">
      <c r="C55" s="176">
        <v>46</v>
      </c>
      <c r="D55" s="208" t="s">
        <v>171</v>
      </c>
      <c r="E55" s="176" t="s">
        <v>172</v>
      </c>
      <c r="F55" s="176">
        <v>3</v>
      </c>
      <c r="G55" s="188">
        <v>9.300000000000001E-3</v>
      </c>
    </row>
    <row r="56" spans="3:7" ht="26.65" customHeight="1">
      <c r="C56" s="176">
        <v>47</v>
      </c>
      <c r="D56" s="208" t="s">
        <v>173</v>
      </c>
      <c r="E56" s="176" t="s">
        <v>174</v>
      </c>
      <c r="F56" s="176">
        <v>5</v>
      </c>
      <c r="G56" s="209">
        <v>1.47E-2</v>
      </c>
    </row>
    <row r="57" spans="3:7" ht="26.65" customHeight="1">
      <c r="C57" s="176">
        <v>48</v>
      </c>
      <c r="D57" s="208" t="s">
        <v>175</v>
      </c>
      <c r="E57" s="176" t="s">
        <v>176</v>
      </c>
      <c r="F57" s="176">
        <v>5</v>
      </c>
      <c r="G57" s="209">
        <v>1.47E-2</v>
      </c>
    </row>
    <row r="58" spans="3:7" ht="26.65" customHeight="1">
      <c r="C58" s="176">
        <v>49</v>
      </c>
      <c r="D58" s="208" t="s">
        <v>177</v>
      </c>
      <c r="E58" s="176" t="s">
        <v>178</v>
      </c>
      <c r="F58" s="176">
        <v>2</v>
      </c>
      <c r="G58" s="209">
        <v>6.7000000000000002E-3</v>
      </c>
    </row>
    <row r="59" spans="3:7" ht="26.65" customHeight="1">
      <c r="C59" s="176">
        <v>50</v>
      </c>
      <c r="D59" s="208" t="s">
        <v>179</v>
      </c>
      <c r="E59" s="176" t="s">
        <v>180</v>
      </c>
      <c r="F59" s="176">
        <v>2</v>
      </c>
      <c r="G59" s="209">
        <v>6.7000000000000002E-3</v>
      </c>
    </row>
    <row r="60" spans="3:7" ht="26.65" customHeight="1">
      <c r="C60" s="176">
        <v>51</v>
      </c>
      <c r="D60" s="208" t="s">
        <v>181</v>
      </c>
      <c r="E60" s="176" t="s">
        <v>182</v>
      </c>
      <c r="F60" s="176">
        <v>2</v>
      </c>
      <c r="G60" s="209">
        <v>6.7000000000000002E-3</v>
      </c>
    </row>
    <row r="61" spans="3:7" ht="26.65" customHeight="1">
      <c r="C61" s="176">
        <v>52</v>
      </c>
      <c r="D61" s="208" t="s">
        <v>183</v>
      </c>
      <c r="E61" s="176" t="s">
        <v>184</v>
      </c>
      <c r="F61" s="176">
        <v>3</v>
      </c>
      <c r="G61" s="188">
        <v>9.300000000000001E-3</v>
      </c>
    </row>
    <row r="62" spans="3:7" ht="26.65" customHeight="1">
      <c r="C62" s="176">
        <v>53</v>
      </c>
      <c r="D62" s="208" t="s">
        <v>185</v>
      </c>
      <c r="E62" s="176" t="s">
        <v>186</v>
      </c>
      <c r="F62" s="176">
        <v>2</v>
      </c>
      <c r="G62" s="209">
        <v>6.7000000000000002E-3</v>
      </c>
    </row>
    <row r="63" spans="3:7" ht="26.65" customHeight="1">
      <c r="C63" s="176">
        <v>54</v>
      </c>
      <c r="D63" s="208" t="s">
        <v>187</v>
      </c>
      <c r="E63" s="176" t="s">
        <v>188</v>
      </c>
      <c r="F63" s="176">
        <v>4</v>
      </c>
      <c r="G63" s="188">
        <v>1.2E-2</v>
      </c>
    </row>
    <row r="64" spans="3:7" ht="26.65" customHeight="1">
      <c r="C64" s="176">
        <v>55</v>
      </c>
      <c r="D64" s="208" t="s">
        <v>189</v>
      </c>
      <c r="E64" s="176" t="s">
        <v>190</v>
      </c>
      <c r="F64" s="176">
        <v>5</v>
      </c>
      <c r="G64" s="209">
        <v>1.47E-2</v>
      </c>
    </row>
    <row r="65" spans="3:7" ht="26.65" customHeight="1">
      <c r="C65" s="176">
        <v>56</v>
      </c>
      <c r="D65" s="208" t="s">
        <v>191</v>
      </c>
      <c r="E65" s="176" t="s">
        <v>192</v>
      </c>
      <c r="F65" s="176">
        <v>1</v>
      </c>
      <c r="G65" s="209">
        <v>4.0000000000000001E-3</v>
      </c>
    </row>
    <row r="66" spans="3:7" ht="26.65" customHeight="1">
      <c r="C66" s="176">
        <v>57</v>
      </c>
      <c r="D66" s="208" t="s">
        <v>193</v>
      </c>
      <c r="E66" s="176" t="s">
        <v>194</v>
      </c>
      <c r="F66" s="176">
        <v>3</v>
      </c>
      <c r="G66" s="188">
        <v>9.300000000000001E-3</v>
      </c>
    </row>
    <row r="67" spans="3:7" ht="26.65" customHeight="1">
      <c r="C67" s="176">
        <v>58</v>
      </c>
      <c r="D67" s="208" t="s">
        <v>195</v>
      </c>
      <c r="E67" s="176" t="s">
        <v>196</v>
      </c>
      <c r="F67" s="176">
        <v>4</v>
      </c>
      <c r="G67" s="209">
        <v>1.2500000000000001E-2</v>
      </c>
    </row>
    <row r="68" spans="3:7" ht="26.65" customHeight="1">
      <c r="C68" s="176">
        <v>59</v>
      </c>
      <c r="D68" s="208" t="s">
        <v>197</v>
      </c>
      <c r="E68" s="176" t="s">
        <v>198</v>
      </c>
      <c r="F68" s="176">
        <v>2</v>
      </c>
      <c r="G68" s="209">
        <v>6.7000000000000002E-3</v>
      </c>
    </row>
    <row r="69" spans="3:7" ht="26.65" customHeight="1">
      <c r="C69" s="176">
        <v>60</v>
      </c>
      <c r="D69" s="208" t="s">
        <v>199</v>
      </c>
      <c r="E69" s="176" t="s">
        <v>200</v>
      </c>
      <c r="F69" s="176">
        <v>3</v>
      </c>
      <c r="G69" s="188">
        <v>9.300000000000001E-3</v>
      </c>
    </row>
    <row r="70" spans="3:7" ht="26.65" customHeight="1">
      <c r="C70" s="176">
        <v>61</v>
      </c>
      <c r="D70" s="208" t="s">
        <v>201</v>
      </c>
      <c r="E70" s="176" t="s">
        <v>202</v>
      </c>
      <c r="F70" s="176">
        <v>3</v>
      </c>
      <c r="G70" s="188">
        <v>9.300000000000001E-3</v>
      </c>
    </row>
    <row r="71" spans="3:7" ht="26.65" customHeight="1">
      <c r="C71" s="176">
        <v>62</v>
      </c>
      <c r="D71" s="208" t="s">
        <v>203</v>
      </c>
      <c r="E71" s="176" t="s">
        <v>204</v>
      </c>
      <c r="F71" s="176">
        <v>4</v>
      </c>
      <c r="G71" s="188">
        <v>1.2E-2</v>
      </c>
    </row>
    <row r="72" spans="3:7" ht="26.65" customHeight="1">
      <c r="C72" s="176">
        <v>63</v>
      </c>
      <c r="D72" s="208" t="s">
        <v>205</v>
      </c>
      <c r="E72" s="176" t="s">
        <v>206</v>
      </c>
      <c r="F72" s="176">
        <v>3</v>
      </c>
      <c r="G72" s="188">
        <v>9.300000000000001E-3</v>
      </c>
    </row>
    <row r="73" spans="3:7" ht="26.65" customHeight="1">
      <c r="C73" s="176">
        <v>64</v>
      </c>
      <c r="D73" s="208" t="s">
        <v>207</v>
      </c>
      <c r="E73" s="176" t="s">
        <v>208</v>
      </c>
      <c r="F73" s="176">
        <v>3</v>
      </c>
      <c r="G73" s="188">
        <v>9.300000000000001E-3</v>
      </c>
    </row>
    <row r="74" spans="3:7" ht="26.65" customHeight="1"/>
    <row r="75" spans="3:7" ht="26.65" customHeight="1"/>
    <row r="76" spans="3:7" ht="26.65" customHeight="1"/>
    <row r="77" spans="3:7" ht="26.65" customHeight="1"/>
    <row r="78" spans="3:7" ht="26.65" customHeight="1"/>
    <row r="79" spans="3:7" ht="26.65" customHeight="1"/>
    <row r="80" spans="3:7" ht="26.65" customHeight="1"/>
    <row r="81" ht="26.65" customHeight="1"/>
    <row r="82" ht="26.65" customHeight="1"/>
    <row r="83" ht="26.65" customHeight="1"/>
    <row r="84" ht="26.65" customHeight="1"/>
    <row r="85" ht="26.65" customHeight="1"/>
    <row r="86" ht="26.65" customHeight="1"/>
    <row r="87" ht="26.65" customHeight="1"/>
    <row r="88" ht="26.65" customHeight="1"/>
    <row r="89" ht="26.65" customHeight="1"/>
    <row r="90" ht="26.65" customHeight="1"/>
    <row r="91" ht="26.65" customHeight="1"/>
    <row r="92" ht="26.65" customHeight="1"/>
    <row r="93" ht="26.65" customHeight="1"/>
    <row r="94" ht="26.65" customHeight="1"/>
    <row r="95" ht="26.65" customHeight="1"/>
    <row r="96" ht="26.65" customHeight="1"/>
    <row r="97" ht="26.65" customHeight="1"/>
    <row r="98" ht="26.65" customHeight="1"/>
    <row r="99" ht="26.65" customHeight="1"/>
    <row r="100" ht="26.65" customHeight="1"/>
    <row r="101" ht="26.65" customHeight="1"/>
    <row r="102" ht="26.65" customHeight="1"/>
    <row r="103" ht="26.65" customHeight="1"/>
    <row r="104" ht="26.65" customHeight="1"/>
    <row r="105" ht="26.65" customHeight="1"/>
    <row r="106" ht="26.65" customHeight="1"/>
    <row r="107" ht="26.65" customHeight="1"/>
    <row r="108" ht="26.65" customHeight="1"/>
    <row r="109" ht="26.65" customHeight="1"/>
    <row r="110" ht="26.65" customHeight="1"/>
    <row r="111" ht="26.65" customHeight="1"/>
    <row r="112" ht="26.65" customHeight="1"/>
    <row r="113" ht="26.65" customHeight="1"/>
    <row r="114" ht="26.65" customHeight="1"/>
    <row r="115" ht="26.65" customHeight="1"/>
    <row r="116" ht="26.65" customHeight="1"/>
    <row r="117" ht="26.65" customHeight="1"/>
    <row r="118" ht="26.65" customHeight="1"/>
    <row r="119" ht="26.65" customHeight="1"/>
    <row r="120" ht="26.65" customHeight="1"/>
    <row r="121" ht="26.65" customHeight="1"/>
    <row r="122" ht="26.65" customHeight="1"/>
    <row r="123" ht="26.65" customHeight="1"/>
    <row r="124" ht="26.65" customHeight="1"/>
    <row r="125" ht="26.65" customHeight="1"/>
    <row r="126" ht="26.65" customHeight="1"/>
    <row r="127" ht="26.65" customHeight="1"/>
    <row r="128" ht="26.65" customHeight="1"/>
    <row r="129" ht="26.65" customHeight="1"/>
    <row r="130" ht="26.65" customHeight="1"/>
    <row r="131" ht="26.65" customHeight="1"/>
    <row r="132" ht="26.65" customHeight="1"/>
    <row r="133" ht="26.65" customHeight="1"/>
    <row r="134" ht="26.65" customHeight="1"/>
    <row r="135" ht="26.65" customHeight="1"/>
    <row r="136" ht="26.65" customHeight="1"/>
    <row r="137" ht="26.65" customHeight="1"/>
    <row r="138" ht="26.65" customHeight="1"/>
    <row r="139" ht="26.65" customHeight="1"/>
    <row r="140" ht="26.65" customHeight="1"/>
  </sheetData>
  <sheetProtection algorithmName="SHA-512" hashValue="1sMMcPyHi1I4z7zMd/D/LS/dnTP+/3zZQqw/fTWlfFXCUmlvRp9Q07JKuKNx/lRzSkDGcajh7bFzpuZcxxo9Mw==" saltValue="4pU8cS2Tm5R9/iXe0xCzoQ==" spinCount="100000" sheet="1" objects="1" scenarios="1" selectLockedCells="1" selectUnlockedCells="1"/>
  <mergeCells count="5">
    <mergeCell ref="B1:G1"/>
    <mergeCell ref="B3:G3"/>
    <mergeCell ref="B4:G4"/>
    <mergeCell ref="B5:G5"/>
    <mergeCell ref="B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K22"/>
  <sheetViews>
    <sheetView showGridLines="0" workbookViewId="0">
      <selection activeCell="C9" sqref="C9"/>
    </sheetView>
  </sheetViews>
  <sheetFormatPr defaultRowHeight="12.75"/>
  <cols>
    <col min="1" max="1" width="12.42578125" bestFit="1" customWidth="1"/>
    <col min="3" max="3" width="11.42578125" bestFit="1" customWidth="1"/>
    <col min="6" max="6" width="13.5703125" bestFit="1" customWidth="1"/>
    <col min="8" max="8" width="10.7109375" bestFit="1" customWidth="1"/>
    <col min="9" max="9" width="11.7109375" bestFit="1" customWidth="1"/>
  </cols>
  <sheetData>
    <row r="1" spans="1:11">
      <c r="A1" s="6">
        <v>85528</v>
      </c>
      <c r="B1" s="7" t="s">
        <v>4</v>
      </c>
      <c r="C1" s="8">
        <v>0.18</v>
      </c>
    </row>
    <row r="2" spans="1:11">
      <c r="A2" s="9"/>
      <c r="B2" s="10" t="s">
        <v>5</v>
      </c>
      <c r="C2" s="11">
        <v>0.32</v>
      </c>
      <c r="H2" s="33" t="s">
        <v>36</v>
      </c>
      <c r="I2" s="31" t="str">
        <f>'umowa o pracę - brutto'!G32</f>
        <v/>
      </c>
      <c r="J2" s="37" t="e">
        <f>I2/$I$8</f>
        <v>#VALUE!</v>
      </c>
    </row>
    <row r="3" spans="1:11">
      <c r="A3" s="9"/>
      <c r="B3" s="10" t="s">
        <v>6</v>
      </c>
      <c r="C3" s="11"/>
      <c r="H3" s="33" t="s">
        <v>37</v>
      </c>
      <c r="I3" s="31" t="str">
        <f>'umowa o pracę - brutto'!M32</f>
        <v/>
      </c>
      <c r="J3" s="37" t="e">
        <f t="shared" ref="J3:J7" si="0">I3/$I$8</f>
        <v>#VALUE!</v>
      </c>
    </row>
    <row r="4" spans="1:11">
      <c r="H4" s="33" t="s">
        <v>38</v>
      </c>
      <c r="I4" s="31" t="str">
        <f>'umowa o pracę - brutto'!K32</f>
        <v/>
      </c>
      <c r="J4" s="37" t="e">
        <f t="shared" si="0"/>
        <v>#VALUE!</v>
      </c>
    </row>
    <row r="5" spans="1:11">
      <c r="H5" s="33" t="s">
        <v>39</v>
      </c>
      <c r="I5" s="31" t="str">
        <f>'umowa o pracę - brutto'!J32</f>
        <v/>
      </c>
      <c r="J5" s="37" t="e">
        <f t="shared" si="0"/>
        <v>#VALUE!</v>
      </c>
    </row>
    <row r="6" spans="1:11" ht="13.5" thickBot="1">
      <c r="H6" s="33" t="s">
        <v>40</v>
      </c>
      <c r="I6" s="31" t="str">
        <f>'umowa o pracę - brutto'!I32</f>
        <v/>
      </c>
      <c r="J6" s="37" t="e">
        <f t="shared" si="0"/>
        <v>#VALUE!</v>
      </c>
    </row>
    <row r="7" spans="1:11" ht="22.5">
      <c r="A7" s="22" t="s">
        <v>7</v>
      </c>
      <c r="C7" s="22" t="s">
        <v>21</v>
      </c>
      <c r="D7" s="22" t="s">
        <v>21</v>
      </c>
      <c r="H7" s="33" t="s">
        <v>41</v>
      </c>
      <c r="I7" s="34" t="str">
        <f>'umowa o pracę - brutto'!Q32</f>
        <v/>
      </c>
      <c r="J7" s="37" t="e">
        <f t="shared" si="0"/>
        <v>#VALUE!</v>
      </c>
    </row>
    <row r="8" spans="1:11" ht="13.5" thickBot="1">
      <c r="A8" s="20">
        <v>7.7499999999999999E-2</v>
      </c>
      <c r="C8" s="21">
        <v>2100</v>
      </c>
      <c r="D8">
        <v>1460</v>
      </c>
      <c r="I8" s="36">
        <f>SUM(I2:I7)</f>
        <v>0</v>
      </c>
    </row>
    <row r="11" spans="1:11">
      <c r="A11" t="s">
        <v>31</v>
      </c>
      <c r="F11" s="35">
        <v>121650</v>
      </c>
      <c r="H11" s="33" t="s">
        <v>36</v>
      </c>
      <c r="I11" s="31" t="str">
        <f>'umowa o pracę - brutto'!G32</f>
        <v/>
      </c>
      <c r="J11" s="37" t="e">
        <f>I11/$I$22</f>
        <v>#VALUE!</v>
      </c>
      <c r="K11" s="42">
        <v>1</v>
      </c>
    </row>
    <row r="12" spans="1:11">
      <c r="H12" s="33" t="s">
        <v>37</v>
      </c>
      <c r="I12" s="31" t="str">
        <f>'umowa o pracę - brutto'!M32</f>
        <v/>
      </c>
      <c r="J12" s="37" t="e">
        <f t="shared" ref="J12:J21" si="1">I12/$I$22</f>
        <v>#VALUE!</v>
      </c>
      <c r="K12" s="37" t="e">
        <f>I12/$I$11</f>
        <v>#VALUE!</v>
      </c>
    </row>
    <row r="13" spans="1:11">
      <c r="H13" s="33" t="s">
        <v>38</v>
      </c>
      <c r="I13" s="31" t="str">
        <f>'umowa o pracę - brutto'!K32</f>
        <v/>
      </c>
      <c r="J13" s="37" t="e">
        <f t="shared" si="1"/>
        <v>#VALUE!</v>
      </c>
      <c r="K13" s="37" t="e">
        <f t="shared" ref="K13:K21" si="2">I13/$I$11</f>
        <v>#VALUE!</v>
      </c>
    </row>
    <row r="14" spans="1:11">
      <c r="H14" s="33" t="s">
        <v>39</v>
      </c>
      <c r="I14" s="31" t="str">
        <f>'umowa o pracę - brutto'!J32</f>
        <v/>
      </c>
      <c r="J14" s="37" t="e">
        <f t="shared" si="1"/>
        <v>#VALUE!</v>
      </c>
      <c r="K14" s="37" t="e">
        <f t="shared" si="2"/>
        <v>#VALUE!</v>
      </c>
    </row>
    <row r="15" spans="1:11">
      <c r="H15" s="33" t="s">
        <v>40</v>
      </c>
      <c r="I15" s="31" t="str">
        <f>'umowa o pracę - brutto'!I32</f>
        <v/>
      </c>
      <c r="J15" s="37" t="e">
        <f t="shared" si="1"/>
        <v>#VALUE!</v>
      </c>
      <c r="K15" s="37" t="e">
        <f t="shared" si="2"/>
        <v>#VALUE!</v>
      </c>
    </row>
    <row r="16" spans="1:11">
      <c r="H16" s="33" t="s">
        <v>41</v>
      </c>
      <c r="I16" s="34" t="str">
        <f>'umowa o pracę - brutto'!Q32</f>
        <v/>
      </c>
      <c r="J16" s="37" t="e">
        <f t="shared" si="1"/>
        <v>#VALUE!</v>
      </c>
      <c r="K16" s="37" t="e">
        <f t="shared" si="2"/>
        <v>#VALUE!</v>
      </c>
    </row>
    <row r="17" spans="8:11">
      <c r="H17" s="33" t="s">
        <v>47</v>
      </c>
      <c r="I17" s="36" t="str">
        <f>'umowa o pracę - brutto'!S32</f>
        <v/>
      </c>
      <c r="J17" s="37" t="e">
        <f t="shared" si="1"/>
        <v>#VALUE!</v>
      </c>
      <c r="K17" s="37" t="e">
        <f t="shared" si="2"/>
        <v>#VALUE!</v>
      </c>
    </row>
    <row r="18" spans="8:11">
      <c r="H18" s="33" t="s">
        <v>39</v>
      </c>
      <c r="I18" s="36" t="str">
        <f>'umowa o pracę - brutto'!T32</f>
        <v/>
      </c>
      <c r="J18" s="37" t="e">
        <f t="shared" si="1"/>
        <v>#VALUE!</v>
      </c>
      <c r="K18" s="37" t="e">
        <f t="shared" si="2"/>
        <v>#VALUE!</v>
      </c>
    </row>
    <row r="19" spans="8:11">
      <c r="H19" s="33" t="s">
        <v>48</v>
      </c>
      <c r="I19" s="36" t="str">
        <f>'umowa o pracę - brutto'!U32</f>
        <v/>
      </c>
      <c r="J19" s="37" t="e">
        <f t="shared" si="1"/>
        <v>#VALUE!</v>
      </c>
      <c r="K19" s="37" t="e">
        <f t="shared" si="2"/>
        <v>#VALUE!</v>
      </c>
    </row>
    <row r="20" spans="8:11">
      <c r="H20" s="33" t="s">
        <v>49</v>
      </c>
      <c r="I20" s="36" t="str">
        <f>'umowa o pracę - brutto'!W32</f>
        <v/>
      </c>
      <c r="J20" s="37" t="e">
        <f t="shared" si="1"/>
        <v>#VALUE!</v>
      </c>
      <c r="K20" s="37" t="e">
        <f t="shared" si="2"/>
        <v>#VALUE!</v>
      </c>
    </row>
    <row r="21" spans="8:11">
      <c r="H21" s="33" t="s">
        <v>50</v>
      </c>
      <c r="I21" s="36" t="str">
        <f>'umowa o pracę - brutto'!X32</f>
        <v/>
      </c>
      <c r="J21" s="37" t="e">
        <f t="shared" si="1"/>
        <v>#VALUE!</v>
      </c>
      <c r="K21" s="37" t="e">
        <f t="shared" si="2"/>
        <v>#VALUE!</v>
      </c>
    </row>
    <row r="22" spans="8:11">
      <c r="I22" s="36">
        <f>SUM(I11:I21)</f>
        <v>0</v>
      </c>
      <c r="J22" s="42" t="e">
        <f>SUM(J11:J21)</f>
        <v>#VALUE!</v>
      </c>
      <c r="K22" s="42" t="e">
        <f>SUM(K11:K21)</f>
        <v>#VALUE!</v>
      </c>
    </row>
  </sheetData>
  <sheetProtection selectLockedCells="1" selectUnlockedCells="1"/>
  <phoneticPr fontId="5" type="noConversion"/>
  <pageMargins left="0.75" right="0.75" top="1" bottom="1" header="0.5" footer="0.5"/>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31</vt:i4>
      </vt:variant>
    </vt:vector>
  </HeadingPairs>
  <TitlesOfParts>
    <vt:vector size="36" baseType="lpstr">
      <vt:lpstr>umowa o pracę - brutto</vt:lpstr>
      <vt:lpstr>wykresy</vt:lpstr>
      <vt:lpstr>umowa o pracę - netto</vt:lpstr>
      <vt:lpstr>stawki wypadkowe</vt:lpstr>
      <vt:lpstr>zmienne</vt:lpstr>
      <vt:lpstr>'umowa o pracę - netto'!brak_e_r</vt:lpstr>
      <vt:lpstr>brak_e_r</vt:lpstr>
      <vt:lpstr>brutto</vt:lpstr>
      <vt:lpstr>'umowa o pracę - netto'!chorob</vt:lpstr>
      <vt:lpstr>chorob</vt:lpstr>
      <vt:lpstr>'umowa o pracę - netto'!emeryt</vt:lpstr>
      <vt:lpstr>emeryt</vt:lpstr>
      <vt:lpstr>'umowa o pracę - netto'!F_G_S_P</vt:lpstr>
      <vt:lpstr>F_G_S_P</vt:lpstr>
      <vt:lpstr>'umowa o pracę - netto'!F_P</vt:lpstr>
      <vt:lpstr>F_P</vt:lpstr>
      <vt:lpstr>I_proc</vt:lpstr>
      <vt:lpstr>I_prog</vt:lpstr>
      <vt:lpstr>II_proc</vt:lpstr>
      <vt:lpstr>II_prog</vt:lpstr>
      <vt:lpstr>K_U_P</vt:lpstr>
      <vt:lpstr>'umowa o pracę - netto'!kwota_wolna</vt:lpstr>
      <vt:lpstr>kwota_wolna</vt:lpstr>
      <vt:lpstr>MWZP</vt:lpstr>
      <vt:lpstr>MWZPN</vt:lpstr>
      <vt:lpstr>'umowa o pracę - netto'!netto</vt:lpstr>
      <vt:lpstr>netto</vt:lpstr>
      <vt:lpstr>'umowa o pracę - brutto'!Obszar_wydruku</vt:lpstr>
      <vt:lpstr>'umowa o pracę - netto'!Obszar_wydruku</vt:lpstr>
      <vt:lpstr>'umowa o pracę - netto'!rent</vt:lpstr>
      <vt:lpstr>rent</vt:lpstr>
      <vt:lpstr>'umowa o pracę - netto'!u_wypadk</vt:lpstr>
      <vt:lpstr>u_wypadk</vt:lpstr>
      <vt:lpstr>'umowa o pracę - netto'!zdrow</vt:lpstr>
      <vt:lpstr>zdrow</vt:lpstr>
      <vt:lpstr>zdrow_z_podatku</vt:lpstr>
    </vt:vector>
  </TitlesOfParts>
  <Company>WSZIB w Krakowie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Kalkulator płac</dc:title>
  <dc:subject>Wyznaczanie wynagrodzenia netto oraz kosztu pracy pracownika</dc:subject>
  <dc:creator>Anna Grobel-Kijanka</dc:creator>
  <cp:lastModifiedBy>Anna Grobel-Kijanka</cp:lastModifiedBy>
  <cp:lastPrinted>2018-01-23T08:49:05Z</cp:lastPrinted>
  <dcterms:created xsi:type="dcterms:W3CDTF">1999-10-21T16:26:32Z</dcterms:created>
  <dcterms:modified xsi:type="dcterms:W3CDTF">2018-01-25T10:30:12Z</dcterms:modified>
</cp:coreProperties>
</file>