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aniagk\Desktop\"/>
    </mc:Choice>
  </mc:AlternateContent>
  <xr:revisionPtr revIDLastSave="0" documentId="8_{8739B507-EB3F-40E7-AE71-9EFCD3E34CC9}" xr6:coauthVersionLast="44" xr6:coauthVersionMax="44" xr10:uidLastSave="{00000000-0000-0000-0000-000000000000}"/>
  <bookViews>
    <workbookView xWindow="-110" yWindow="-110" windowWidth="19420" windowHeight="10420" tabRatio="851" xr2:uid="{00000000-000D-0000-FFFF-FFFF00000000}"/>
  </bookViews>
  <sheets>
    <sheet name="umowa o pracę" sheetId="7" r:id="rId1"/>
    <sheet name="wykres" sheetId="17" r:id="rId2"/>
    <sheet name="wykresy" sheetId="10" state="hidden" r:id="rId3"/>
    <sheet name="umowa o pracę - netto" sheetId="9" state="hidden" r:id="rId4"/>
    <sheet name="stawki wypadkowe" sheetId="16" r:id="rId5"/>
    <sheet name="zmienne" sheetId="8" state="hidden" r:id="rId6"/>
  </sheets>
  <definedNames>
    <definedName name="brak_e_r" localSheetId="3">'umowa o pracę - netto'!$T$3</definedName>
    <definedName name="brak_e_r">'umowa o pracę'!$W$6</definedName>
    <definedName name="brutto">'umowa o pracę'!$Q$9</definedName>
    <definedName name="chorob" localSheetId="3">'umowa o pracę - netto'!$K$10</definedName>
    <definedName name="chorob">'umowa o pracę'!$L$18</definedName>
    <definedName name="emeryt" localSheetId="3">'umowa o pracę - netto'!$I$10</definedName>
    <definedName name="emeryt">'umowa o pracę'!$J$18</definedName>
    <definedName name="F_G_S_P" localSheetId="3">'umowa o pracę - netto'!#REF!</definedName>
    <definedName name="F_G_S_P">'umowa o pracę'!$AA$18</definedName>
    <definedName name="F_P" localSheetId="3">'umowa o pracę - netto'!#REF!</definedName>
    <definedName name="F_P">'umowa o pracę'!$Z$18</definedName>
    <definedName name="I_proc">zmienne!$C$1</definedName>
    <definedName name="I_prog">zmienne!$A$1</definedName>
    <definedName name="II_proc">zmienne!$C$2</definedName>
    <definedName name="II_prog">zmienne!$A$1</definedName>
    <definedName name="K_U_P">'umowa o pracę'!$X$10</definedName>
    <definedName name="kwota_wolna" localSheetId="3">'umowa o pracę - netto'!$T$2</definedName>
    <definedName name="kwota_wolna">'umowa o pracę'!$W$5</definedName>
    <definedName name="kwota_wolna2">'umowa o pracę'!$AA$5</definedName>
    <definedName name="MWZP">zmienne!$C$9</definedName>
    <definedName name="MWZPN">zmienne!$D$9</definedName>
    <definedName name="netto" localSheetId="3">'umowa o pracę - netto'!$P$5</definedName>
    <definedName name="netto">'umowa o pracę - netto'!$P$5</definedName>
    <definedName name="_xlnm.Print_Area" localSheetId="0">'umowa o pracę'!$D$1:$AB$34</definedName>
    <definedName name="_xlnm.Print_Area" localSheetId="3">'umowa o pracę - netto'!$C$2:$W$29</definedName>
    <definedName name="old">'umowa o pracę'!$Q$12</definedName>
    <definedName name="PPK_pracownik">'umowa o pracę'!$V$13</definedName>
    <definedName name="PPK_szef">'umowa o pracę'!$X$13</definedName>
    <definedName name="PPP">'umowa o pracę'!$I$18</definedName>
    <definedName name="PPS">'umowa o pracę'!$U$18</definedName>
    <definedName name="rent" localSheetId="3">'umowa o pracę - netto'!$J$10</definedName>
    <definedName name="rent">'umowa o pracę'!$K$18</definedName>
    <definedName name="rent2">'umowa o pracę'!$W$18</definedName>
    <definedName name="u_wypadk">'umowa o pracę'!$Q$11</definedName>
    <definedName name="zdrow" localSheetId="3">'umowa o pracę - netto'!$X$10</definedName>
    <definedName name="zdrow">'umowa o pracę'!$N$18</definedName>
    <definedName name="zdrow_z_podatku">zmienne!$A$9</definedName>
    <definedName name="zlecenie">zmienne!$C$10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7" l="1"/>
  <c r="E20" i="7"/>
  <c r="E21" i="7"/>
  <c r="E22" i="7"/>
  <c r="E23" i="7"/>
  <c r="E24" i="7"/>
  <c r="E25" i="7"/>
  <c r="E26" i="7"/>
  <c r="E27" i="7"/>
  <c r="E28" i="7"/>
  <c r="E29" i="7"/>
  <c r="E30" i="7"/>
  <c r="F23" i="7" l="1"/>
  <c r="F27" i="7"/>
  <c r="F20" i="7"/>
  <c r="F24" i="7"/>
  <c r="F28" i="7"/>
  <c r="F22" i="7"/>
  <c r="F26" i="7"/>
  <c r="F21" i="7"/>
  <c r="F25" i="7"/>
  <c r="F29" i="7"/>
  <c r="F30" i="7"/>
  <c r="U18" i="7"/>
  <c r="I18" i="7"/>
  <c r="X12" i="7"/>
  <c r="V12" i="7"/>
  <c r="U13" i="7"/>
  <c r="I19" i="7"/>
  <c r="U19" i="7" l="1"/>
  <c r="X10" i="7"/>
  <c r="F19" i="7" l="1"/>
  <c r="T2" i="9"/>
  <c r="Q11" i="9" s="1"/>
  <c r="T3" i="9"/>
  <c r="W19" i="7" l="1"/>
  <c r="K19" i="7"/>
  <c r="AA19" i="7"/>
  <c r="L19" i="7"/>
  <c r="J19" i="7"/>
  <c r="Z19" i="7"/>
  <c r="X18" i="7"/>
  <c r="V19" i="7" l="1"/>
  <c r="M19" i="7"/>
  <c r="P19" i="7" s="1"/>
  <c r="S5" i="9"/>
  <c r="Q19" i="7" l="1"/>
  <c r="N19" i="7"/>
  <c r="O19" i="7"/>
  <c r="R19" i="7" s="1"/>
  <c r="S19" i="7" s="1"/>
  <c r="C19" i="7"/>
  <c r="G19" i="7" l="1"/>
  <c r="T19" i="7"/>
  <c r="M22" i="9"/>
  <c r="N21" i="9"/>
  <c r="M20" i="9"/>
  <c r="N19" i="9"/>
  <c r="M18" i="9"/>
  <c r="N17" i="9"/>
  <c r="M16" i="9"/>
  <c r="N15" i="9"/>
  <c r="M14" i="9"/>
  <c r="N13" i="9"/>
  <c r="M12" i="9"/>
  <c r="N11" i="9"/>
  <c r="M11" i="9" l="1"/>
  <c r="M13" i="9"/>
  <c r="M15" i="9"/>
  <c r="M17" i="9"/>
  <c r="M19" i="9"/>
  <c r="M21" i="9"/>
  <c r="X5" i="9"/>
  <c r="N12" i="9"/>
  <c r="N14" i="9"/>
  <c r="N16" i="9"/>
  <c r="N18" i="9"/>
  <c r="N20" i="9"/>
  <c r="N22" i="9"/>
  <c r="N23" i="9" l="1"/>
  <c r="J26" i="9" l="1"/>
  <c r="J25" i="9"/>
  <c r="X19" i="7" l="1"/>
  <c r="AB19" i="7" s="1"/>
  <c r="Y19" i="7" l="1"/>
  <c r="H19" i="7" l="1"/>
  <c r="C20" i="7" l="1"/>
  <c r="X23" i="7"/>
  <c r="U23" i="7"/>
  <c r="C23" i="7"/>
  <c r="I23" i="7"/>
  <c r="AA23" i="7"/>
  <c r="L23" i="7"/>
  <c r="Z23" i="7"/>
  <c r="Z27" i="7"/>
  <c r="X27" i="7"/>
  <c r="AA27" i="7"/>
  <c r="U27" i="7"/>
  <c r="C27" i="7"/>
  <c r="I27" i="7"/>
  <c r="L27" i="7"/>
  <c r="L24" i="7"/>
  <c r="Z24" i="7"/>
  <c r="U24" i="7"/>
  <c r="X24" i="7"/>
  <c r="AA24" i="7"/>
  <c r="I24" i="7"/>
  <c r="C24" i="7"/>
  <c r="X28" i="7"/>
  <c r="C28" i="7"/>
  <c r="U28" i="7"/>
  <c r="AA28" i="7"/>
  <c r="L28" i="7"/>
  <c r="I28" i="7"/>
  <c r="Z28" i="7"/>
  <c r="I25" i="7"/>
  <c r="X25" i="7"/>
  <c r="C25" i="7"/>
  <c r="L25" i="7"/>
  <c r="AA25" i="7"/>
  <c r="U25" i="7"/>
  <c r="Z25" i="7"/>
  <c r="L29" i="7"/>
  <c r="Z29" i="7"/>
  <c r="U29" i="7"/>
  <c r="X29" i="7"/>
  <c r="C29" i="7"/>
  <c r="I29" i="7"/>
  <c r="AA29" i="7"/>
  <c r="AA21" i="7"/>
  <c r="U21" i="7"/>
  <c r="I21" i="7"/>
  <c r="Z21" i="7"/>
  <c r="X21" i="7"/>
  <c r="C21" i="7"/>
  <c r="L21" i="7"/>
  <c r="I26" i="7"/>
  <c r="U26" i="7"/>
  <c r="Z26" i="7"/>
  <c r="X26" i="7"/>
  <c r="AA26" i="7"/>
  <c r="L26" i="7"/>
  <c r="C26" i="7"/>
  <c r="U30" i="7"/>
  <c r="C30" i="7"/>
  <c r="AA30" i="7"/>
  <c r="Z30" i="7"/>
  <c r="L30" i="7"/>
  <c r="I30" i="7"/>
  <c r="X30" i="7"/>
  <c r="AA22" i="7"/>
  <c r="I22" i="7"/>
  <c r="C22" i="7"/>
  <c r="Z22" i="7"/>
  <c r="X22" i="7"/>
  <c r="U22" i="7"/>
  <c r="L22" i="7"/>
  <c r="AA20" i="7"/>
  <c r="U20" i="7"/>
  <c r="K24" i="7"/>
  <c r="X20" i="7"/>
  <c r="W22" i="7"/>
  <c r="K21" i="7"/>
  <c r="Z20" i="7"/>
  <c r="J25" i="7"/>
  <c r="I20" i="7"/>
  <c r="L20" i="7"/>
  <c r="Q20" i="7"/>
  <c r="W26" i="7"/>
  <c r="J30" i="7" l="1"/>
  <c r="V30" i="7" s="1"/>
  <c r="K26" i="7"/>
  <c r="J22" i="7"/>
  <c r="V22" i="7" s="1"/>
  <c r="Y22" i="7" s="1"/>
  <c r="H22" i="7" s="1"/>
  <c r="W25" i="7"/>
  <c r="J26" i="7"/>
  <c r="V26" i="7" s="1"/>
  <c r="C31" i="7"/>
  <c r="I31" i="7" s="1"/>
  <c r="W30" i="7"/>
  <c r="J21" i="7"/>
  <c r="V21" i="7" s="1"/>
  <c r="W29" i="7"/>
  <c r="J29" i="7"/>
  <c r="K27" i="7"/>
  <c r="J27" i="7"/>
  <c r="J23" i="7"/>
  <c r="K23" i="7"/>
  <c r="K29" i="7"/>
  <c r="W28" i="7"/>
  <c r="J28" i="7"/>
  <c r="W27" i="7"/>
  <c r="K28" i="7"/>
  <c r="W23" i="7"/>
  <c r="V25" i="7"/>
  <c r="V9" i="7"/>
  <c r="W21" i="7"/>
  <c r="K25" i="7"/>
  <c r="W24" i="7"/>
  <c r="J24" i="7"/>
  <c r="K20" i="7"/>
  <c r="K30" i="7"/>
  <c r="W20" i="7"/>
  <c r="K22" i="7"/>
  <c r="J20" i="7"/>
  <c r="M26" i="7" l="1"/>
  <c r="P26" i="7" s="1"/>
  <c r="M21" i="7"/>
  <c r="P21" i="7" s="1"/>
  <c r="M22" i="7"/>
  <c r="P22" i="7" s="1"/>
  <c r="E31" i="7"/>
  <c r="AB22" i="7"/>
  <c r="K31" i="7"/>
  <c r="I16" i="8" s="1"/>
  <c r="U31" i="7"/>
  <c r="I19" i="8" s="1"/>
  <c r="L31" i="7"/>
  <c r="I5" i="8" s="1"/>
  <c r="AA31" i="7"/>
  <c r="I24" i="8" s="1"/>
  <c r="W31" i="7"/>
  <c r="I21" i="8" s="1"/>
  <c r="F31" i="7"/>
  <c r="X31" i="7"/>
  <c r="I22" i="8" s="1"/>
  <c r="N19" i="8" s="1"/>
  <c r="Z31" i="7"/>
  <c r="I23" i="8" s="1"/>
  <c r="AB26" i="7"/>
  <c r="Y26" i="7"/>
  <c r="H26" i="7" s="1"/>
  <c r="M30" i="7"/>
  <c r="P30" i="7" s="1"/>
  <c r="AB25" i="7"/>
  <c r="Y25" i="7"/>
  <c r="H25" i="7" s="1"/>
  <c r="M27" i="7"/>
  <c r="P27" i="7" s="1"/>
  <c r="V27" i="7"/>
  <c r="AB21" i="7"/>
  <c r="Y21" i="7"/>
  <c r="H21" i="7" s="1"/>
  <c r="Y30" i="7"/>
  <c r="H30" i="7" s="1"/>
  <c r="AB30" i="7"/>
  <c r="I13" i="8"/>
  <c r="I3" i="8"/>
  <c r="M25" i="7"/>
  <c r="P25" i="7" s="1"/>
  <c r="V29" i="7"/>
  <c r="M29" i="7"/>
  <c r="P29" i="7" s="1"/>
  <c r="V20" i="7"/>
  <c r="M20" i="7"/>
  <c r="P20" i="7" s="1"/>
  <c r="V24" i="7"/>
  <c r="M24" i="7"/>
  <c r="P24" i="7" s="1"/>
  <c r="J31" i="7"/>
  <c r="V28" i="7"/>
  <c r="M28" i="7"/>
  <c r="P28" i="7" s="1"/>
  <c r="M23" i="7"/>
  <c r="P23" i="7" s="1"/>
  <c r="V23" i="7"/>
  <c r="O26" i="7" l="1"/>
  <c r="N26" i="7"/>
  <c r="O21" i="7"/>
  <c r="N21" i="7"/>
  <c r="N22" i="7"/>
  <c r="O22" i="7"/>
  <c r="R22" i="7" s="1"/>
  <c r="N20" i="8"/>
  <c r="I15" i="8"/>
  <c r="N16" i="8" s="1"/>
  <c r="I6" i="8"/>
  <c r="N28" i="7"/>
  <c r="O28" i="7"/>
  <c r="R28" i="7" s="1"/>
  <c r="S28" i="7" s="1"/>
  <c r="Q22" i="7"/>
  <c r="O20" i="7"/>
  <c r="R20" i="7" s="1"/>
  <c r="S20" i="7" s="1"/>
  <c r="Q25" i="7"/>
  <c r="R26" i="7"/>
  <c r="N20" i="7"/>
  <c r="Q23" i="7"/>
  <c r="M31" i="7"/>
  <c r="Q21" i="7"/>
  <c r="Q29" i="7"/>
  <c r="Q28" i="7"/>
  <c r="Q26" i="7"/>
  <c r="R21" i="7"/>
  <c r="Q27" i="7"/>
  <c r="Q30" i="7"/>
  <c r="Q24" i="7"/>
  <c r="O29" i="7"/>
  <c r="R29" i="7" s="1"/>
  <c r="S29" i="7" s="1"/>
  <c r="N29" i="7"/>
  <c r="N27" i="7"/>
  <c r="O27" i="7"/>
  <c r="R27" i="7" s="1"/>
  <c r="S27" i="7" s="1"/>
  <c r="N17" i="8"/>
  <c r="N13" i="8"/>
  <c r="I17" i="8"/>
  <c r="I7" i="8"/>
  <c r="Y23" i="7"/>
  <c r="H23" i="7" s="1"/>
  <c r="AB23" i="7"/>
  <c r="Y28" i="7"/>
  <c r="H28" i="7" s="1"/>
  <c r="AB28" i="7"/>
  <c r="O24" i="7"/>
  <c r="R24" i="7" s="1"/>
  <c r="S24" i="7" s="1"/>
  <c r="N24" i="7"/>
  <c r="AB20" i="7"/>
  <c r="Y20" i="7"/>
  <c r="V31" i="7"/>
  <c r="I20" i="8" s="1"/>
  <c r="Y29" i="7"/>
  <c r="H29" i="7" s="1"/>
  <c r="AB29" i="7"/>
  <c r="N25" i="7"/>
  <c r="O25" i="7"/>
  <c r="R25" i="7" s="1"/>
  <c r="S25" i="7" s="1"/>
  <c r="AB24" i="7"/>
  <c r="Y24" i="7"/>
  <c r="H24" i="7" s="1"/>
  <c r="N23" i="7"/>
  <c r="O23" i="7"/>
  <c r="R23" i="7" s="1"/>
  <c r="S23" i="7" s="1"/>
  <c r="Y27" i="7"/>
  <c r="H27" i="7" s="1"/>
  <c r="AB27" i="7"/>
  <c r="N30" i="7"/>
  <c r="O30" i="7"/>
  <c r="R30" i="7" s="1"/>
  <c r="S30" i="7" s="1"/>
  <c r="S22" i="7" l="1"/>
  <c r="T22" i="7" s="1"/>
  <c r="S26" i="7"/>
  <c r="G26" i="7" s="1"/>
  <c r="S21" i="7"/>
  <c r="G21" i="7" s="1"/>
  <c r="G24" i="7"/>
  <c r="G29" i="7"/>
  <c r="G25" i="7"/>
  <c r="G20" i="7"/>
  <c r="AB31" i="7"/>
  <c r="G30" i="7"/>
  <c r="G27" i="7"/>
  <c r="T23" i="7"/>
  <c r="T28" i="7"/>
  <c r="T25" i="7"/>
  <c r="T24" i="7"/>
  <c r="T27" i="7"/>
  <c r="T29" i="7"/>
  <c r="O31" i="7"/>
  <c r="G28" i="7"/>
  <c r="N18" i="8"/>
  <c r="N31" i="7"/>
  <c r="T20" i="7"/>
  <c r="T30" i="7"/>
  <c r="G23" i="7"/>
  <c r="H20" i="7"/>
  <c r="H31" i="7" s="1"/>
  <c r="Y31" i="7"/>
  <c r="G33" i="7"/>
  <c r="G34" i="7"/>
  <c r="S31" i="7" l="1"/>
  <c r="I18" i="8" s="1"/>
  <c r="T21" i="7"/>
  <c r="T26" i="7"/>
  <c r="G22" i="7"/>
  <c r="G31" i="7" s="1"/>
  <c r="I2" i="8" s="1"/>
  <c r="I14" i="8"/>
  <c r="I4" i="8"/>
  <c r="T31" i="7" l="1"/>
  <c r="I8" i="8"/>
  <c r="I9" i="8" s="1"/>
  <c r="J8" i="8" s="1"/>
  <c r="S34" i="7"/>
  <c r="I12" i="8"/>
  <c r="K14" i="8" s="1"/>
  <c r="S33" i="7"/>
  <c r="N14" i="8"/>
  <c r="N15" i="8"/>
  <c r="K22" i="8" l="1"/>
  <c r="K17" i="8"/>
  <c r="K21" i="8"/>
  <c r="K16" i="8"/>
  <c r="K23" i="8"/>
  <c r="I25" i="8"/>
  <c r="J18" i="8" s="1"/>
  <c r="K13" i="8"/>
  <c r="K19" i="8"/>
  <c r="N12" i="8"/>
  <c r="O19" i="8" s="1"/>
  <c r="K18" i="8"/>
  <c r="K20" i="8"/>
  <c r="K15" i="8"/>
  <c r="K24" i="8"/>
  <c r="J6" i="8"/>
  <c r="J3" i="8"/>
  <c r="J5" i="8"/>
  <c r="J7" i="8"/>
  <c r="J2" i="8"/>
  <c r="J4" i="8"/>
  <c r="J12" i="8" l="1"/>
  <c r="O12" i="8"/>
  <c r="O14" i="8"/>
  <c r="J16" i="8"/>
  <c r="J14" i="8"/>
  <c r="J19" i="8"/>
  <c r="J23" i="8"/>
  <c r="J20" i="8"/>
  <c r="J21" i="8"/>
  <c r="O13" i="8"/>
  <c r="O20" i="8"/>
  <c r="J15" i="8"/>
  <c r="J24" i="8"/>
  <c r="J17" i="8"/>
  <c r="J13" i="8"/>
  <c r="J22" i="8"/>
  <c r="O18" i="8"/>
  <c r="K25" i="8"/>
  <c r="O16" i="8"/>
  <c r="O15" i="8"/>
  <c r="O17" i="8"/>
  <c r="J25" i="8" l="1"/>
  <c r="P11" i="9" l="1"/>
  <c r="K11" i="9"/>
  <c r="Z11" i="9"/>
  <c r="O11" i="9"/>
  <c r="AC11" i="9" s="1"/>
  <c r="I11" i="9" l="1"/>
  <c r="J11" i="9"/>
  <c r="L11" i="9" l="1"/>
  <c r="AB11" i="9" l="1"/>
  <c r="Y11" i="9"/>
  <c r="AF11" i="9" s="1"/>
  <c r="X11" i="9"/>
  <c r="AB12" i="9"/>
  <c r="AD12" i="9" l="1"/>
  <c r="AA12" i="9"/>
  <c r="AD11" i="9"/>
  <c r="AE11" i="9" s="1"/>
  <c r="AA11" i="9"/>
  <c r="AG11" i="9"/>
  <c r="Q12" i="9" l="1"/>
  <c r="P12" i="9" s="1"/>
  <c r="O12" i="9" l="1"/>
  <c r="J12" i="9" s="1"/>
  <c r="Z12" i="9"/>
  <c r="K12" i="9"/>
  <c r="AC12" i="9" l="1"/>
  <c r="AE12" i="9" s="1"/>
  <c r="I12" i="9"/>
  <c r="L12" i="9" s="1"/>
  <c r="X12" i="9" l="1"/>
  <c r="Y12" i="9"/>
  <c r="AF12" i="9" s="1"/>
  <c r="AB13" i="9"/>
  <c r="AG12" i="9" l="1"/>
  <c r="AD13" i="9"/>
  <c r="AA13" i="9"/>
  <c r="Q13" i="9" l="1"/>
  <c r="P13" i="9" l="1"/>
  <c r="K13" i="9"/>
  <c r="Z13" i="9"/>
  <c r="O13" i="9"/>
  <c r="J13" i="9" l="1"/>
  <c r="AC13" i="9"/>
  <c r="AE13" i="9" s="1"/>
  <c r="I13" i="9"/>
  <c r="L13" i="9" l="1"/>
  <c r="X13" i="9" l="1"/>
  <c r="Y13" i="9"/>
  <c r="AF13" i="9" s="1"/>
  <c r="AB14" i="9"/>
  <c r="AD14" i="9" l="1"/>
  <c r="AA14" i="9"/>
  <c r="AG13" i="9"/>
  <c r="Q14" i="9" l="1"/>
  <c r="K14" i="9" l="1"/>
  <c r="P14" i="9"/>
  <c r="Z14" i="9"/>
  <c r="O14" i="9"/>
  <c r="I14" i="9" l="1"/>
  <c r="AC14" i="9"/>
  <c r="AE14" i="9" s="1"/>
  <c r="J14" i="9"/>
  <c r="L14" i="9" l="1"/>
  <c r="X14" i="9" l="1"/>
  <c r="Y14" i="9"/>
  <c r="AF14" i="9" s="1"/>
  <c r="AB15" i="9"/>
  <c r="AD15" i="9" l="1"/>
  <c r="AA15" i="9"/>
  <c r="AG14" i="9"/>
  <c r="Q15" i="9" l="1"/>
  <c r="K15" i="9" l="1"/>
  <c r="P15" i="9"/>
  <c r="Z15" i="9"/>
  <c r="O15" i="9"/>
  <c r="AC15" i="9" l="1"/>
  <c r="AE15" i="9" s="1"/>
  <c r="I15" i="9"/>
  <c r="J15" i="9"/>
  <c r="L15" i="9" l="1"/>
  <c r="Y15" i="9" l="1"/>
  <c r="AF15" i="9"/>
  <c r="X15" i="9"/>
  <c r="AB16" i="9"/>
  <c r="AG15" i="9" l="1"/>
  <c r="AD16" i="9"/>
  <c r="AA16" i="9"/>
  <c r="Q16" i="9" l="1"/>
  <c r="K16" i="9" s="1"/>
  <c r="Z16" i="9" l="1"/>
  <c r="P16" i="9"/>
  <c r="O16" i="9"/>
  <c r="I16" i="9" s="1"/>
  <c r="AC16" i="9" l="1"/>
  <c r="AE16" i="9" s="1"/>
  <c r="J16" i="9"/>
  <c r="L16" i="9" s="1"/>
  <c r="X16" i="9" l="1"/>
  <c r="Y16" i="9"/>
  <c r="AF16" i="9" s="1"/>
  <c r="AB17" i="9"/>
  <c r="AD17" i="9" l="1"/>
  <c r="AA17" i="9"/>
  <c r="AG16" i="9"/>
  <c r="Q17" i="9" l="1"/>
  <c r="K17" i="9" s="1"/>
  <c r="O17" i="9" l="1"/>
  <c r="AC17" i="9" s="1"/>
  <c r="AE17" i="9" s="1"/>
  <c r="P17" i="9"/>
  <c r="Z17" i="9"/>
  <c r="J17" i="9" l="1"/>
  <c r="I17" i="9"/>
  <c r="L17" i="9" l="1"/>
  <c r="Y17" i="9" s="1"/>
  <c r="AF17" i="9" s="1"/>
  <c r="AB18" i="9" l="1"/>
  <c r="AA18" i="9" s="1"/>
  <c r="X17" i="9"/>
  <c r="AG17" i="9" s="1"/>
  <c r="AD18" i="9" l="1"/>
  <c r="Q18" i="9"/>
  <c r="K18" i="9" s="1"/>
  <c r="Z18" i="9" l="1"/>
  <c r="O18" i="9"/>
  <c r="J18" i="9" s="1"/>
  <c r="P18" i="9"/>
  <c r="I18" i="9" l="1"/>
  <c r="L18" i="9" s="1"/>
  <c r="AC18" i="9"/>
  <c r="AE18" i="9" s="1"/>
  <c r="Y18" i="9" l="1"/>
  <c r="AF18" i="9" s="1"/>
  <c r="X18" i="9"/>
  <c r="AB19" i="9"/>
  <c r="AG18" i="9" l="1"/>
  <c r="AD19" i="9"/>
  <c r="AA19" i="9"/>
  <c r="Q19" i="9" l="1"/>
  <c r="K19" i="9" s="1"/>
  <c r="O19" i="9" l="1"/>
  <c r="J19" i="9" s="1"/>
  <c r="Z19" i="9"/>
  <c r="P19" i="9"/>
  <c r="I19" i="9" l="1"/>
  <c r="L19" i="9" s="1"/>
  <c r="AC19" i="9"/>
  <c r="AE19" i="9" s="1"/>
  <c r="X19" i="9" l="1"/>
  <c r="Y19" i="9"/>
  <c r="AF19" i="9" s="1"/>
  <c r="AB20" i="9"/>
  <c r="AD20" i="9" l="1"/>
  <c r="AA20" i="9"/>
  <c r="AG19" i="9"/>
  <c r="Q20" i="9" l="1"/>
  <c r="K20" i="9" s="1"/>
  <c r="O20" i="9" l="1"/>
  <c r="J20" i="9" s="1"/>
  <c r="Z20" i="9"/>
  <c r="P20" i="9"/>
  <c r="AC20" i="9" l="1"/>
  <c r="AE20" i="9" s="1"/>
  <c r="I20" i="9"/>
  <c r="L20" i="9" s="1"/>
  <c r="X20" i="9" l="1"/>
  <c r="Y20" i="9"/>
  <c r="AF20" i="9" s="1"/>
  <c r="AB21" i="9"/>
  <c r="AD21" i="9" l="1"/>
  <c r="AA21" i="9"/>
  <c r="AG20" i="9"/>
  <c r="Q21" i="9" l="1"/>
  <c r="P21" i="9" s="1"/>
  <c r="K21" i="9" l="1"/>
  <c r="Z21" i="9"/>
  <c r="O21" i="9"/>
  <c r="I21" i="9" s="1"/>
  <c r="AC21" i="9" l="1"/>
  <c r="AE21" i="9" s="1"/>
  <c r="J21" i="9"/>
  <c r="L21" i="9" s="1"/>
  <c r="X21" i="9" l="1"/>
  <c r="Y21" i="9"/>
  <c r="AF21" i="9" s="1"/>
  <c r="AB22" i="9"/>
  <c r="P26" i="9" l="1"/>
  <c r="P25" i="9"/>
  <c r="AD22" i="9"/>
  <c r="Q25" i="9"/>
  <c r="Q26" i="9"/>
  <c r="AA22" i="9"/>
  <c r="AG21" i="9"/>
  <c r="Q22" i="9" l="1"/>
  <c r="P22" i="9" l="1"/>
  <c r="P23" i="9" s="1"/>
  <c r="K22" i="9"/>
  <c r="K23" i="9" s="1"/>
  <c r="Z22" i="9"/>
  <c r="Q23" i="9"/>
  <c r="O22" i="9"/>
  <c r="I22" i="9" l="1"/>
  <c r="O23" i="9"/>
  <c r="J22" i="9"/>
  <c r="J23" i="9" s="1"/>
  <c r="AC22" i="9"/>
  <c r="AE22" i="9" s="1"/>
  <c r="L22" i="9" l="1"/>
  <c r="I23" i="9"/>
  <c r="L23" i="9" l="1"/>
  <c r="X22" i="9"/>
  <c r="Y22" i="9"/>
  <c r="Y23" i="9" s="1"/>
  <c r="AF22" i="9"/>
  <c r="AF23" i="9" s="1"/>
  <c r="X23" i="9" l="1"/>
  <c r="AG22" i="9"/>
  <c r="AG23"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Grobel-Kijanka</author>
    <author>aniagk</author>
  </authors>
  <commentList>
    <comment ref="D8" authorId="0" shapeId="0" xr:uid="{00000000-0006-0000-0400-000001000000}">
      <text>
        <r>
          <rPr>
            <b/>
            <sz val="9"/>
            <color indexed="81"/>
            <rFont val="Tahoma"/>
            <family val="2"/>
            <charset val="238"/>
          </rPr>
          <t>Anna Grobel-Kijanka:</t>
        </r>
        <r>
          <rPr>
            <sz val="9"/>
            <color indexed="81"/>
            <rFont val="Tahoma"/>
            <family val="2"/>
            <charset val="238"/>
          </rPr>
          <t xml:space="preserve">
NETTO</t>
        </r>
      </text>
    </comment>
    <comment ref="C9" authorId="1" shapeId="0" xr:uid="{00000000-0006-0000-0400-000002000000}">
      <text>
        <r>
          <rPr>
            <b/>
            <sz val="8"/>
            <color indexed="81"/>
            <rFont val="Tahoma"/>
            <family val="2"/>
            <charset val="238"/>
          </rPr>
          <t>aniagk:</t>
        </r>
        <r>
          <rPr>
            <sz val="8"/>
            <color indexed="81"/>
            <rFont val="Tahoma"/>
            <family val="2"/>
            <charset val="238"/>
          </rPr>
          <t xml:space="preserve">
minimalne wynagrodzenie za płacę BRUTTO</t>
        </r>
      </text>
    </comment>
  </commentList>
</comments>
</file>

<file path=xl/sharedStrings.xml><?xml version="1.0" encoding="utf-8"?>
<sst xmlns="http://schemas.openxmlformats.org/spreadsheetml/2006/main" count="260" uniqueCount="228">
  <si>
    <t>Wynagrodzenie brutto</t>
  </si>
  <si>
    <t>Miesiąc</t>
  </si>
  <si>
    <t>Wynagrodzenie
brutto</t>
  </si>
  <si>
    <t>Razem</t>
  </si>
  <si>
    <t>I próg</t>
  </si>
  <si>
    <t>II próg</t>
  </si>
  <si>
    <t>III próg</t>
  </si>
  <si>
    <t>u.z.odliczane
od podatku</t>
  </si>
  <si>
    <t>podstawa do obliczania emer i renty</t>
  </si>
  <si>
    <t>Obciążenia pracownika</t>
  </si>
  <si>
    <t>Obciążenia pracodawcy</t>
  </si>
  <si>
    <t>Wynagrodzenie
netto</t>
  </si>
  <si>
    <t>Zaliczka na podatek dochodowy</t>
  </si>
  <si>
    <t>Ubezb. społeczne</t>
  </si>
  <si>
    <t>Ubezp. zdrowotne</t>
  </si>
  <si>
    <t>ubezp. odliczane 
z podatku</t>
  </si>
  <si>
    <t>Próg podatkowy</t>
  </si>
  <si>
    <t>Stawka ubezpieczenia wypadkowego</t>
  </si>
  <si>
    <t>razem</t>
  </si>
  <si>
    <t>MWZP</t>
  </si>
  <si>
    <t>Składki ZUS</t>
  </si>
  <si>
    <t>Emery
talne</t>
  </si>
  <si>
    <t>Rentowe</t>
  </si>
  <si>
    <t>Choro
bowe</t>
  </si>
  <si>
    <t>Uwzględniana jest kwota wolna od podatku:</t>
  </si>
  <si>
    <t>Uwzględniane jest ograniczenie wymiaru składek ZUS od  kwoty:</t>
  </si>
  <si>
    <t>Koszt całkowity/Wynagrodzenie netto</t>
  </si>
  <si>
    <t>Klin podatkowy</t>
  </si>
  <si>
    <t>Wynagrodzenie netto</t>
  </si>
  <si>
    <t>ZUS</t>
  </si>
  <si>
    <t>netto</t>
  </si>
  <si>
    <t>ub. zdrowotne</t>
  </si>
  <si>
    <t>ub. chorobowe</t>
  </si>
  <si>
    <t>zaliczka na PIT</t>
  </si>
  <si>
    <t>Rocznie</t>
  </si>
  <si>
    <t>suma brutto</t>
  </si>
  <si>
    <t>%</t>
  </si>
  <si>
    <t>brak e_r
kwota objęta ZUS</t>
  </si>
  <si>
    <t>wypadkowe</t>
  </si>
  <si>
    <t>fundusz pracy</t>
  </si>
  <si>
    <t>fundusz gwar.św.prac.</t>
  </si>
  <si>
    <t>styczeń</t>
  </si>
  <si>
    <t>luty</t>
  </si>
  <si>
    <t>marzec</t>
  </si>
  <si>
    <t>kwiecień</t>
  </si>
  <si>
    <t>maj</t>
  </si>
  <si>
    <t>czerwiec</t>
  </si>
  <si>
    <t>lipiec</t>
  </si>
  <si>
    <t>sierpień</t>
  </si>
  <si>
    <t>wrzesień</t>
  </si>
  <si>
    <t>październik</t>
  </si>
  <si>
    <t>listopad</t>
  </si>
  <si>
    <t>grudzień</t>
  </si>
  <si>
    <t>Emerytalne</t>
  </si>
  <si>
    <t>Wypadkowe</t>
  </si>
  <si>
    <t>Chorobowe</t>
  </si>
  <si>
    <t>Grupy działalności, kategorie ryzyka i stopy procentowe składki na ubezpieczenie wypadkowe dla grup działalności</t>
  </si>
  <si>
    <t>Lp.</t>
  </si>
  <si>
    <t>A-01</t>
  </si>
  <si>
    <t>A-02</t>
  </si>
  <si>
    <t>Rybactwo</t>
  </si>
  <si>
    <t>A-03</t>
  </si>
  <si>
    <t>B-05</t>
  </si>
  <si>
    <t>B-06</t>
  </si>
  <si>
    <t>Górnictwo rud metali</t>
  </si>
  <si>
    <t>B-07</t>
  </si>
  <si>
    <t>B-08</t>
  </si>
  <si>
    <t>B-09</t>
  </si>
  <si>
    <t>Produkcja artykułów spożywczych</t>
  </si>
  <si>
    <t>C-10</t>
  </si>
  <si>
    <t>Produkcja napojów</t>
  </si>
  <si>
    <t>C-11</t>
  </si>
  <si>
    <t>Produkcja wyrobów tytoniowych</t>
  </si>
  <si>
    <t>C-12</t>
  </si>
  <si>
    <t>Produkcja wyrobów tekstylnych</t>
  </si>
  <si>
    <t>C-13</t>
  </si>
  <si>
    <t>Produkcja odzieży</t>
  </si>
  <si>
    <t>C-14</t>
  </si>
  <si>
    <t>C-15</t>
  </si>
  <si>
    <t>C-16</t>
  </si>
  <si>
    <t>C-17</t>
  </si>
  <si>
    <t>C-18</t>
  </si>
  <si>
    <t>C-19</t>
  </si>
  <si>
    <t>C-20</t>
  </si>
  <si>
    <t>C-21</t>
  </si>
  <si>
    <t>C-22</t>
  </si>
  <si>
    <t>C-23</t>
  </si>
  <si>
    <t>Produkcja metali</t>
  </si>
  <si>
    <t>C-24</t>
  </si>
  <si>
    <t>Stopy procentowe składki na ubezpieczenie wypadkowe</t>
  </si>
  <si>
    <t>Dla płatników składek:</t>
  </si>
  <si>
    <t>Grupa działalności</t>
  </si>
  <si>
    <t>Kategoria ryzyka</t>
  </si>
  <si>
    <t>Stopa procentowa</t>
  </si>
  <si>
    <t>Kod PKD</t>
  </si>
  <si>
    <t>2. podlegających wpisowi do rejestru REGON, zgłaszających do ubezpieczenia wypadkowego co najmniej 10 osób, którzy przekazali do ZUS informacje ZUS IWA przez trzy kolejne, ostatnie lata kalendarzowe stopę procentową składki wypadkowej ustala ZUS. Natomiast dla płatników, którzy nie przekazali informacji ZUS IWA przez trzy kolejne, ostatnie lata kalendarzowe stopa procentowa składki wypadkowej wynosi tyle, co stopa procentowa określona dla grupy działalności, do której należą.</t>
  </si>
  <si>
    <t>C-25</t>
  </si>
  <si>
    <t>Produkcja komputerów, wyrobów elektronicznych i optycznych</t>
  </si>
  <si>
    <t>C-26</t>
  </si>
  <si>
    <t>Produkcja urządzeń elektrycznych</t>
  </si>
  <si>
    <t>C-27</t>
  </si>
  <si>
    <t>C-28</t>
  </si>
  <si>
    <t>C-29</t>
  </si>
  <si>
    <t>Produkcja pozostałego sprzętu transportowego</t>
  </si>
  <si>
    <t>C-30</t>
  </si>
  <si>
    <t>Produkcja mebli</t>
  </si>
  <si>
    <t>C-31</t>
  </si>
  <si>
    <t>Pozostała produkcja wyrobów</t>
  </si>
  <si>
    <t>C-32</t>
  </si>
  <si>
    <t>C-33</t>
  </si>
  <si>
    <t>D-35</t>
  </si>
  <si>
    <t>E-36</t>
  </si>
  <si>
    <t>E-37</t>
  </si>
  <si>
    <t>Działalność związana ze zbieraniem, przetwarzaniem i unieszkodliwianiem odpadów; odzysk surowców</t>
  </si>
  <si>
    <t>E-38</t>
  </si>
  <si>
    <t>E-39</t>
  </si>
  <si>
    <t>Roboty budowlane związane ze wznoszeniem budynków</t>
  </si>
  <si>
    <t>F-41</t>
  </si>
  <si>
    <t>F-42</t>
  </si>
  <si>
    <t>Roboty budowlane specjalistyczne</t>
  </si>
  <si>
    <t>F-43</t>
  </si>
  <si>
    <t>G-45</t>
  </si>
  <si>
    <t>G-46</t>
  </si>
  <si>
    <t>G-47</t>
  </si>
  <si>
    <t>Transport lądowy oraz transport rurociągowy</t>
  </si>
  <si>
    <t>H-49</t>
  </si>
  <si>
    <t>Transport wodny</t>
  </si>
  <si>
    <t>H-50</t>
  </si>
  <si>
    <t>Transport lotniczy</t>
  </si>
  <si>
    <t>H-51</t>
  </si>
  <si>
    <t>H-52</t>
  </si>
  <si>
    <t>H-53</t>
  </si>
  <si>
    <t>I</t>
  </si>
  <si>
    <t>J</t>
  </si>
  <si>
    <t>K</t>
  </si>
  <si>
    <t>L</t>
  </si>
  <si>
    <t>M</t>
  </si>
  <si>
    <t>N-77</t>
  </si>
  <si>
    <t>N-78</t>
  </si>
  <si>
    <t>N-79</t>
  </si>
  <si>
    <t>N-80</t>
  </si>
  <si>
    <t>N-81</t>
  </si>
  <si>
    <t>N-82</t>
  </si>
  <si>
    <t>O,U</t>
  </si>
  <si>
    <t>Edukacja</t>
  </si>
  <si>
    <t>P</t>
  </si>
  <si>
    <t>Q</t>
  </si>
  <si>
    <t>R</t>
  </si>
  <si>
    <t>S,T</t>
  </si>
  <si>
    <t>Roczny klin podatkowy</t>
  </si>
  <si>
    <t>Roczny (koszt całkowity/wynagrodzenie netto)</t>
  </si>
  <si>
    <t>Fundusz Gw.
Świad. Prac.</t>
  </si>
  <si>
    <r>
      <t xml:space="preserve">Uwzględniane jest </t>
    </r>
    <r>
      <rPr>
        <b/>
        <i/>
        <sz val="11"/>
        <color theme="4" tint="-0.249977111117893"/>
        <rFont val="Calibri"/>
        <family val="2"/>
        <charset val="238"/>
        <scheme val="major"/>
      </rPr>
      <t>ograniczenie wymiaru składek ZUS</t>
    </r>
    <r>
      <rPr>
        <i/>
        <sz val="11"/>
        <color theme="4" tint="-0.249977111117893"/>
        <rFont val="Calibri"/>
        <family val="2"/>
        <charset val="238"/>
        <scheme val="major"/>
      </rPr>
      <t xml:space="preserve"> od  kwoty:</t>
    </r>
  </si>
  <si>
    <t>Uwaga! Kalkulator wynagrodzeń spełnia jedynie rolę informacyjną i nie może być stosowany do wyliczeń wynagrodzeń dla pracowników w warunkach funkcjonowania podmiotów gospodarczych.</t>
  </si>
  <si>
    <t>kwota wolna</t>
  </si>
  <si>
    <t>Dopóki dochód pracownika nie przekroczy progu podatkowego (85 528 zł) uzwględniana jest miesięczna kwota zmniejszająca podatek:</t>
  </si>
  <si>
    <r>
      <t>1. podlegających wpisowi do rejestru REGON, zgłaszających do ubezpieczenia wypadkowego nie więcej niż 9 osób, stopa procentowa składki wypadkowej wynosi 50% najwyższej stopy procentowej ustalonej na dany rok składkowy dla grup działalności, czyli</t>
    </r>
    <r>
      <rPr>
        <b/>
        <sz val="10"/>
        <rFont val="Arial CE"/>
        <charset val="238"/>
      </rPr>
      <t xml:space="preserve"> </t>
    </r>
    <r>
      <rPr>
        <b/>
        <sz val="10"/>
        <color theme="8" tint="-0.499984740745262"/>
        <rFont val="Arial CE"/>
        <charset val="238"/>
      </rPr>
      <t>1,67%</t>
    </r>
    <r>
      <rPr>
        <sz val="10"/>
        <rFont val="Arial CE"/>
        <charset val="238"/>
      </rPr>
      <t>.</t>
    </r>
  </si>
  <si>
    <r>
      <t xml:space="preserve">3. niepodlegających wpisowi do rejestru REGON,  stopa procentowa składki wypadkowej wynosi </t>
    </r>
    <r>
      <rPr>
        <b/>
        <sz val="10"/>
        <color theme="8" tint="-0.499984740745262"/>
        <rFont val="Arial CE"/>
        <charset val="238"/>
      </rPr>
      <t>1,67%</t>
    </r>
    <r>
      <rPr>
        <sz val="10"/>
        <rFont val="Arial CE"/>
        <charset val="238"/>
      </rPr>
      <t>.</t>
    </r>
  </si>
  <si>
    <t>Uprawy rolne, chów i hodowla zwierząt, łowiectwo, włączając działalność usługową</t>
  </si>
  <si>
    <t>Leśnictwo i pozyskiwanie drewna</t>
  </si>
  <si>
    <t>Wydobywanie węgla kamiennego i węgla brunatnego (lignitu)</t>
  </si>
  <si>
    <t>Górnictwo ropy naftowej i gazu ziemnego</t>
  </si>
  <si>
    <t>Pozostałe górnictwo i wydobywanie</t>
  </si>
  <si>
    <t>Działalność usługowa wspomagająca górnictwo i wydobywanie</t>
  </si>
  <si>
    <t>Produkcja skór i wyrobów ze skór wyprawionych</t>
  </si>
  <si>
    <t>Produkcja wyrobów z drewna oraz korka, z wyłączeniem mebli; produkcja wyrobów ze słomy i materiałów używanych do wyplatania</t>
  </si>
  <si>
    <t>Produkcja papieru i wyrobów z papieru</t>
  </si>
  <si>
    <t>Poligrafia i reprodukcja zapisanych nośników informacji</t>
  </si>
  <si>
    <t>Wytwarzanie i przetwarzanie koksu i produktów rafinacji ropy naftowej</t>
  </si>
  <si>
    <t>Produkcja chemikaliów i wyrobów chemicznych</t>
  </si>
  <si>
    <t>Produkcja podstawowych substancji farmaceutycznych oraz leków i pozostałych wyrobów farmaceutycznych</t>
  </si>
  <si>
    <t>Produkcja wyrobów z gumy i tworzyw sztucznych</t>
  </si>
  <si>
    <t>Produkcja wyrobów z pozostałych mineralnych surowców niemetalicznych</t>
  </si>
  <si>
    <t>Produkcja metalowych wyrobów gotowych, z wyłączeniem maszyn i urządzeń</t>
  </si>
  <si>
    <t>Produkcja maszyn i urządzeń, gdzie indziej niesklasyfikowana</t>
  </si>
  <si>
    <t>Produkcja pojazdów samochodowych, przyczep i naczep, z wyłączeniem motocykli</t>
  </si>
  <si>
    <t>Naprawa, konserwacja i instalowanie maszyn i urządzeń</t>
  </si>
  <si>
    <t>Wytwarzanie i zaopatrywanie w energię elektryczną, gaz, parę wodną, gorącą wodę i powietrze do układów klimatyzacyjnych</t>
  </si>
  <si>
    <t>Pobór, uzdatnianie i dostarczanie wody</t>
  </si>
  <si>
    <t>Odprowadzanie i oczyszczanie ścieków</t>
  </si>
  <si>
    <t>Działalność związana z rekultywacją i pozostała działalność usługowa związana z gospodarką odpadami</t>
  </si>
  <si>
    <t>Roboty związane z budową obiektów inżynierii lądowej i wodnej</t>
  </si>
  <si>
    <t>Handel hurtowy i detaliczny pojazdami samochodowymi; naprawa pojazdów samochodowych</t>
  </si>
  <si>
    <t>Handel hurtowy, z wyłączeniem handlu pojazdami samochodowymi</t>
  </si>
  <si>
    <t>Handel detaliczny, z wyłączeniem handlu detalicznego pojazdami samochodowymi</t>
  </si>
  <si>
    <t>Magazynowanie i działalność usługowa wspomagająca transport</t>
  </si>
  <si>
    <t>Działalność pocztowa i kurierska</t>
  </si>
  <si>
    <t>Działalność związana z zakwaterowaniem i usługami gastronomicznymi</t>
  </si>
  <si>
    <t>Informacja i komunikacja</t>
  </si>
  <si>
    <t>Działalność finansowa i ubezpieczeniowa</t>
  </si>
  <si>
    <t>Działalność związana z obsługą rynku nieruchomości</t>
  </si>
  <si>
    <t>Działalność profesjonalna, naukowa i techniczna</t>
  </si>
  <si>
    <t>Wynajem i dzierżawa</t>
  </si>
  <si>
    <t>Działalność związana z zatrudnieniem</t>
  </si>
  <si>
    <t>Działalność organizatorów turystyki, pośredników i agentów turystycznych oraz pozostała działalność usługowa w zakresie rezerwacji i działalności z nią związane</t>
  </si>
  <si>
    <t>Działalność detektywistyczna i ochroniarska</t>
  </si>
  <si>
    <t>Działalność usługowa związana z utrzymaniem porządku w budynkach i zagospodarowaniem terenów zieleni</t>
  </si>
  <si>
    <t>Działalność związana z administracyjną obsługą biura i pozostała działalność wspomagająca prowadzenie działalności gospodarczej</t>
  </si>
  <si>
    <t>Administracja publiczna i obrona narodowa; obowiązkowe zabezpieczenia społeczne, organizacje i zespoły eksterytorialne</t>
  </si>
  <si>
    <t>Opieka zdrowotna i pomoc społeczna</t>
  </si>
  <si>
    <t>Działalność związana z kulturą, rozrywką i rekreacją</t>
  </si>
  <si>
    <t>Pozostała działalność usługowa, gospodarstwa domowe zatrudniające pracowników; gospodarstwa domowe produkujące wyroby i świadczące usługi na własne potrzeby</t>
  </si>
  <si>
    <t>© Copyright by Wyższa Szkoła Zarządzania i Bankowości w Krakowie (WSZIB)</t>
  </si>
  <si>
    <t>Fundusz Pracy 
i Solidarnośc.</t>
  </si>
  <si>
    <t>PPK</t>
  </si>
  <si>
    <t>ub. emerytalne pracownik</t>
  </si>
  <si>
    <t>ub. rentowe pracownik</t>
  </si>
  <si>
    <t>ub. emerytalne pracodawca</t>
  </si>
  <si>
    <t>ub. rentowe pracodawca</t>
  </si>
  <si>
    <t>PPK pracownik</t>
  </si>
  <si>
    <t>PPK pracodawca</t>
  </si>
  <si>
    <t>Tak</t>
  </si>
  <si>
    <t>Kalkulator płac 2020</t>
  </si>
  <si>
    <t>Zatrudnienie w miejscu zamieszkania?</t>
  </si>
  <si>
    <t>Ukończony 26 rok życia?</t>
  </si>
  <si>
    <r>
      <rPr>
        <b/>
        <i/>
        <sz val="11"/>
        <color theme="4" tint="-0.249977111117893"/>
        <rFont val="Calibri"/>
        <family val="2"/>
        <charset val="238"/>
        <scheme val="major"/>
      </rPr>
      <t xml:space="preserve">Założenia: </t>
    </r>
    <r>
      <rPr>
        <i/>
        <sz val="11"/>
        <color theme="4" tint="-0.249977111117893"/>
        <rFont val="Calibri"/>
        <family val="2"/>
        <charset val="238"/>
        <scheme val="major"/>
      </rPr>
      <t>Pracownik (w wieku do 55 lat) zatrudniony jest w ramach</t>
    </r>
    <r>
      <rPr>
        <i/>
        <sz val="11"/>
        <color rgb="FFC00000"/>
        <rFont val="Calibri"/>
        <family val="2"/>
        <charset val="238"/>
        <scheme val="major"/>
      </rPr>
      <t xml:space="preserve"> </t>
    </r>
    <r>
      <rPr>
        <b/>
        <i/>
        <sz val="11"/>
        <color rgb="FFC00000"/>
        <rFont val="Calibri"/>
        <family val="2"/>
        <charset val="238"/>
        <scheme val="major"/>
      </rPr>
      <t>jednego etatu</t>
    </r>
    <r>
      <rPr>
        <i/>
        <sz val="11"/>
        <color theme="4" tint="-0.249977111117893"/>
        <rFont val="Calibri"/>
        <family val="2"/>
        <charset val="238"/>
        <scheme val="major"/>
      </rPr>
      <t xml:space="preserve">. Płaca minimalna od 1 stycznia 2020 roku wynosi brutto: </t>
    </r>
  </si>
  <si>
    <t>Całkowity koszt wynagrodzenia</t>
  </si>
  <si>
    <t>Podstawa opodatkowania</t>
  </si>
  <si>
    <t>zdrowotne</t>
  </si>
  <si>
    <t>ub. emerytalne</t>
  </si>
  <si>
    <t>ub. rentowe</t>
  </si>
  <si>
    <t>ub. wypadkowe</t>
  </si>
  <si>
    <t>FP i FGŚP</t>
  </si>
  <si>
    <t>wynagrodzenie netto</t>
  </si>
  <si>
    <t>Miesięczne koszty uzyskania przychodu</t>
  </si>
  <si>
    <t>Udział w PPK?</t>
  </si>
  <si>
    <t>young-rich</t>
  </si>
  <si>
    <t>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</si>
</sst>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0\ &quot;zł&quot;;\-#,##0\ &quot;zł&quot;"/>
    <numFmt numFmtId="7" formatCode="#,##0.00\ &quot;zł&quot;;\-#,##0.00\ &quot;zł&quot;"/>
    <numFmt numFmtId="44" formatCode="_-* #,##0.00\ &quot;zł&quot;_-;\-* #,##0.00\ &quot;zł&quot;_-;_-* &quot;-&quot;??\ &quot;zł&quot;_-;_-@_-"/>
    <numFmt numFmtId="164" formatCode="_-* #,##0.00\ _z_ł_-;\-* #,##0.00\ _z_ł_-;_-* &quot;-&quot;??\ _z_ł_-;_-@_-"/>
    <numFmt numFmtId="165" formatCode="#,##0.00_ ;\-#,##0.00\ "/>
    <numFmt numFmtId="166" formatCode="_-* #,##0\ _z_ł_-;\-* #,##0\ _z_ł_-;_-* &quot;-&quot;??\ _z_ł_-;_-@_-"/>
    <numFmt numFmtId="167" formatCode="#,##0.00_ ;[Red]\-#,##0.00\ "/>
    <numFmt numFmtId="168" formatCode="#,##0.00\ &quot;zł&quot;"/>
    <numFmt numFmtId="169" formatCode="0.0%"/>
    <numFmt numFmtId="170" formatCode="#,##0_ ;[Red]\-#,##0\ "/>
    <numFmt numFmtId="171" formatCode="#,##0_ ;\-#,##0\ "/>
  </numFmts>
  <fonts count="99">
    <font>
      <sz val="10"/>
      <name val="Arial CE"/>
      <charset val="238"/>
    </font>
    <font>
      <sz val="11"/>
      <color theme="1"/>
      <name val="Czcionka tekstu podstawowego"/>
      <family val="2"/>
      <charset val="238"/>
    </font>
    <font>
      <sz val="10"/>
      <name val="Arial CE"/>
      <charset val="238"/>
    </font>
    <font>
      <sz val="10"/>
      <name val="Arial CE"/>
      <family val="2"/>
      <charset val="238"/>
    </font>
    <font>
      <sz val="9"/>
      <name val="Arial CE"/>
      <family val="2"/>
      <charset val="238"/>
    </font>
    <font>
      <sz val="8"/>
      <name val="Arial CE"/>
      <charset val="238"/>
    </font>
    <font>
      <b/>
      <sz val="10"/>
      <name val="Arial CE"/>
      <charset val="238"/>
    </font>
    <font>
      <i/>
      <sz val="8"/>
      <name val="Arial CE"/>
      <charset val="238"/>
    </font>
    <font>
      <b/>
      <i/>
      <sz val="9"/>
      <name val="Arial CE"/>
      <family val="2"/>
      <charset val="238"/>
    </font>
    <font>
      <sz val="8"/>
      <name val="Arial CE"/>
      <family val="2"/>
      <charset val="238"/>
    </font>
    <font>
      <i/>
      <sz val="9"/>
      <name val="Arial CE"/>
      <charset val="238"/>
    </font>
    <font>
      <i/>
      <sz val="8"/>
      <name val="Arial CE"/>
      <family val="2"/>
      <charset val="238"/>
    </font>
    <font>
      <b/>
      <i/>
      <sz val="7.5"/>
      <name val="Arial CE"/>
      <charset val="238"/>
    </font>
    <font>
      <b/>
      <i/>
      <sz val="8"/>
      <color indexed="10"/>
      <name val="Arial CE"/>
      <charset val="238"/>
    </font>
    <font>
      <b/>
      <i/>
      <sz val="8"/>
      <name val="Arial CE"/>
      <charset val="238"/>
    </font>
    <font>
      <sz val="7.5"/>
      <name val="Arial CE"/>
      <family val="2"/>
      <charset val="238"/>
    </font>
    <font>
      <b/>
      <sz val="8"/>
      <name val="Arial"/>
      <family val="2"/>
      <charset val="238"/>
    </font>
    <font>
      <sz val="7.5"/>
      <name val="Arial"/>
      <family val="2"/>
      <charset val="238"/>
    </font>
    <font>
      <b/>
      <sz val="7.5"/>
      <name val="Arial"/>
      <family val="2"/>
      <charset val="238"/>
    </font>
    <font>
      <sz val="8"/>
      <color indexed="81"/>
      <name val="Tahoma"/>
      <family val="2"/>
      <charset val="238"/>
    </font>
    <font>
      <b/>
      <sz val="8"/>
      <color indexed="81"/>
      <name val="Tahoma"/>
      <family val="2"/>
      <charset val="238"/>
    </font>
    <font>
      <b/>
      <sz val="8"/>
      <name val="Arial CE"/>
      <charset val="238"/>
    </font>
    <font>
      <i/>
      <sz val="7"/>
      <color rgb="FFC00000"/>
      <name val="Arial CE"/>
      <family val="2"/>
      <charset val="238"/>
    </font>
    <font>
      <b/>
      <i/>
      <sz val="7"/>
      <color rgb="FFC00000"/>
      <name val="Arial CE"/>
      <family val="2"/>
      <charset val="238"/>
    </font>
    <font>
      <sz val="7"/>
      <color rgb="FFC00000"/>
      <name val="Arial CE"/>
      <family val="2"/>
      <charset val="238"/>
    </font>
    <font>
      <sz val="9"/>
      <color indexed="81"/>
      <name val="Tahoma"/>
      <family val="2"/>
      <charset val="238"/>
    </font>
    <font>
      <b/>
      <sz val="9"/>
      <color indexed="81"/>
      <name val="Tahoma"/>
      <family val="2"/>
      <charset val="238"/>
    </font>
    <font>
      <sz val="9"/>
      <name val="Calibri"/>
      <family val="2"/>
      <charset val="238"/>
      <scheme val="major"/>
    </font>
    <font>
      <sz val="10"/>
      <name val="Calibri"/>
      <family val="2"/>
      <charset val="238"/>
      <scheme val="major"/>
    </font>
    <font>
      <i/>
      <sz val="9"/>
      <color indexed="62"/>
      <name val="Calibri"/>
      <family val="2"/>
      <charset val="238"/>
      <scheme val="major"/>
    </font>
    <font>
      <sz val="11"/>
      <name val="Calibri"/>
      <family val="2"/>
      <charset val="238"/>
      <scheme val="major"/>
    </font>
    <font>
      <b/>
      <i/>
      <sz val="9"/>
      <color rgb="FFC00000"/>
      <name val="Calibri"/>
      <family val="2"/>
      <charset val="238"/>
      <scheme val="major"/>
    </font>
    <font>
      <b/>
      <sz val="12"/>
      <name val="Calibri"/>
      <family val="2"/>
      <charset val="238"/>
      <scheme val="major"/>
    </font>
    <font>
      <b/>
      <i/>
      <sz val="8"/>
      <color indexed="10"/>
      <name val="Calibri"/>
      <family val="2"/>
      <charset val="238"/>
      <scheme val="major"/>
    </font>
    <font>
      <sz val="10"/>
      <color theme="4" tint="-0.249977111117893"/>
      <name val="Calibri"/>
      <family val="2"/>
      <charset val="238"/>
      <scheme val="major"/>
    </font>
    <font>
      <b/>
      <sz val="10"/>
      <color theme="4" tint="-0.249977111117893"/>
      <name val="Calibri"/>
      <family val="2"/>
      <charset val="238"/>
      <scheme val="major"/>
    </font>
    <font>
      <b/>
      <i/>
      <sz val="10"/>
      <name val="Calibri"/>
      <family val="2"/>
      <charset val="238"/>
      <scheme val="major"/>
    </font>
    <font>
      <sz val="8"/>
      <name val="Calibri"/>
      <family val="2"/>
      <charset val="238"/>
      <scheme val="major"/>
    </font>
    <font>
      <i/>
      <sz val="9"/>
      <name val="Calibri"/>
      <family val="2"/>
      <charset val="238"/>
      <scheme val="major"/>
    </font>
    <font>
      <i/>
      <sz val="8"/>
      <name val="Calibri"/>
      <family val="2"/>
      <charset val="238"/>
      <scheme val="major"/>
    </font>
    <font>
      <b/>
      <sz val="10"/>
      <name val="Calibri"/>
      <family val="2"/>
      <charset val="238"/>
      <scheme val="major"/>
    </font>
    <font>
      <b/>
      <i/>
      <sz val="9"/>
      <name val="Calibri"/>
      <family val="2"/>
      <charset val="238"/>
      <scheme val="major"/>
    </font>
    <font>
      <b/>
      <i/>
      <sz val="8"/>
      <name val="Calibri"/>
      <family val="2"/>
      <charset val="238"/>
      <scheme val="major"/>
    </font>
    <font>
      <b/>
      <i/>
      <sz val="7.5"/>
      <name val="Calibri"/>
      <family val="2"/>
      <charset val="238"/>
      <scheme val="major"/>
    </font>
    <font>
      <i/>
      <sz val="7.5"/>
      <name val="Calibri"/>
      <family val="2"/>
      <charset val="238"/>
      <scheme val="major"/>
    </font>
    <font>
      <sz val="7.5"/>
      <name val="Calibri"/>
      <family val="2"/>
      <charset val="238"/>
      <scheme val="major"/>
    </font>
    <font>
      <i/>
      <sz val="7"/>
      <color rgb="FFC00000"/>
      <name val="Calibri"/>
      <family val="2"/>
      <charset val="238"/>
      <scheme val="major"/>
    </font>
    <font>
      <b/>
      <i/>
      <sz val="7"/>
      <color rgb="FFC00000"/>
      <name val="Calibri"/>
      <family val="2"/>
      <charset val="238"/>
      <scheme val="major"/>
    </font>
    <font>
      <b/>
      <sz val="7.5"/>
      <name val="Calibri"/>
      <family val="2"/>
      <charset val="238"/>
      <scheme val="major"/>
    </font>
    <font>
      <b/>
      <sz val="10"/>
      <color indexed="62"/>
      <name val="Calibri"/>
      <family val="2"/>
      <charset val="238"/>
      <scheme val="major"/>
    </font>
    <font>
      <b/>
      <sz val="8"/>
      <name val="Calibri"/>
      <family val="2"/>
      <charset val="238"/>
      <scheme val="major"/>
    </font>
    <font>
      <b/>
      <sz val="9"/>
      <name val="Calibri"/>
      <family val="2"/>
      <charset val="238"/>
      <scheme val="major"/>
    </font>
    <font>
      <i/>
      <sz val="10"/>
      <name val="Calibri"/>
      <family val="2"/>
      <charset val="238"/>
      <scheme val="major"/>
    </font>
    <font>
      <b/>
      <i/>
      <sz val="10"/>
      <color rgb="FFC00000"/>
      <name val="Calibri"/>
      <family val="2"/>
      <charset val="238"/>
      <scheme val="major"/>
    </font>
    <font>
      <b/>
      <i/>
      <sz val="11"/>
      <color rgb="FFC00000"/>
      <name val="Calibri"/>
      <family val="2"/>
      <charset val="238"/>
      <scheme val="major"/>
    </font>
    <font>
      <b/>
      <i/>
      <sz val="10"/>
      <color indexed="62"/>
      <name val="Calibri"/>
      <family val="2"/>
      <charset val="238"/>
      <scheme val="major"/>
    </font>
    <font>
      <b/>
      <sz val="11"/>
      <color rgb="FFC00000"/>
      <name val="Calibri"/>
      <family val="2"/>
      <charset val="238"/>
      <scheme val="major"/>
    </font>
    <font>
      <b/>
      <sz val="10"/>
      <color rgb="FFC00000"/>
      <name val="Calibri"/>
      <family val="2"/>
      <charset val="238"/>
      <scheme val="major"/>
    </font>
    <font>
      <sz val="7.5"/>
      <color rgb="FFC00000"/>
      <name val="Calibri"/>
      <family val="2"/>
      <charset val="238"/>
      <scheme val="major"/>
    </font>
    <font>
      <i/>
      <sz val="10"/>
      <color theme="1" tint="0.34998626667073579"/>
      <name val="Calibri"/>
      <family val="2"/>
      <charset val="238"/>
      <scheme val="major"/>
    </font>
    <font>
      <b/>
      <sz val="10"/>
      <color theme="4" tint="-0.499984740745262"/>
      <name val="Calibri"/>
      <family val="2"/>
      <charset val="238"/>
      <scheme val="major"/>
    </font>
    <font>
      <b/>
      <sz val="9"/>
      <color theme="4" tint="-0.249977111117893"/>
      <name val="Calibri"/>
      <family val="2"/>
      <charset val="238"/>
      <scheme val="major"/>
    </font>
    <font>
      <b/>
      <sz val="9"/>
      <color theme="4" tint="-0.499984740745262"/>
      <name val="Calibri"/>
      <family val="2"/>
      <charset val="238"/>
      <scheme val="major"/>
    </font>
    <font>
      <b/>
      <sz val="10"/>
      <color theme="1" tint="0.34998626667073579"/>
      <name val="Arial CE"/>
      <charset val="238"/>
    </font>
    <font>
      <b/>
      <sz val="10"/>
      <color theme="8" tint="-0.499984740745262"/>
      <name val="Arial CE"/>
      <charset val="238"/>
    </font>
    <font>
      <b/>
      <sz val="18"/>
      <color theme="8" tint="-0.499984740745262"/>
      <name val="Segoe UI"/>
      <family val="2"/>
      <charset val="238"/>
    </font>
    <font>
      <b/>
      <sz val="11"/>
      <color theme="8" tint="-0.249977111117893"/>
      <name val="Segoe UI Semibold"/>
      <family val="2"/>
      <charset val="238"/>
    </font>
    <font>
      <sz val="11"/>
      <color theme="4" tint="-0.249977111117893"/>
      <name val="Calibri"/>
      <family val="2"/>
      <charset val="238"/>
      <scheme val="major"/>
    </font>
    <font>
      <b/>
      <i/>
      <sz val="9"/>
      <color theme="4" tint="-0.249977111117893"/>
      <name val="Calibri"/>
      <family val="2"/>
      <charset val="238"/>
      <scheme val="major"/>
    </font>
    <font>
      <i/>
      <sz val="9"/>
      <color rgb="FFC00000"/>
      <name val="Calibri"/>
      <family val="2"/>
      <charset val="238"/>
      <scheme val="major"/>
    </font>
    <font>
      <i/>
      <sz val="11"/>
      <name val="Calibri"/>
      <family val="2"/>
      <charset val="238"/>
      <scheme val="major"/>
    </font>
    <font>
      <i/>
      <sz val="11"/>
      <color theme="4" tint="-0.249977111117893"/>
      <name val="Calibri"/>
      <family val="2"/>
      <charset val="238"/>
      <scheme val="major"/>
    </font>
    <font>
      <b/>
      <i/>
      <sz val="11"/>
      <color theme="4" tint="-0.249977111117893"/>
      <name val="Calibri"/>
      <family val="2"/>
      <charset val="238"/>
      <scheme val="major"/>
    </font>
    <font>
      <i/>
      <sz val="10"/>
      <color theme="4" tint="-0.249977111117893"/>
      <name val="Calibri"/>
      <family val="2"/>
      <charset val="238"/>
      <scheme val="major"/>
    </font>
    <font>
      <i/>
      <sz val="9"/>
      <color theme="4" tint="-0.249977111117893"/>
      <name val="Calibri"/>
      <family val="2"/>
      <charset val="238"/>
      <scheme val="major"/>
    </font>
    <font>
      <i/>
      <sz val="11"/>
      <color rgb="FFC00000"/>
      <name val="Calibri"/>
      <family val="2"/>
      <charset val="238"/>
      <scheme val="major"/>
    </font>
    <font>
      <b/>
      <sz val="11"/>
      <color theme="4" tint="-0.249977111117893"/>
      <name val="Calibri"/>
      <family val="2"/>
      <charset val="238"/>
      <scheme val="major"/>
    </font>
    <font>
      <b/>
      <sz val="11.5"/>
      <color theme="4" tint="-0.249977111117893"/>
      <name val="Calibri"/>
      <family val="2"/>
      <charset val="238"/>
      <scheme val="major"/>
    </font>
    <font>
      <sz val="11.5"/>
      <color theme="4" tint="-0.249977111117893"/>
      <name val="Calibri"/>
      <family val="2"/>
      <charset val="238"/>
      <scheme val="major"/>
    </font>
    <font>
      <b/>
      <sz val="12"/>
      <color rgb="FFC00000"/>
      <name val="Calibri"/>
      <family val="2"/>
      <charset val="238"/>
      <scheme val="major"/>
    </font>
    <font>
      <b/>
      <sz val="11"/>
      <color rgb="FF065E47"/>
      <name val="Calibri"/>
      <family val="2"/>
      <charset val="238"/>
      <scheme val="major"/>
    </font>
    <font>
      <b/>
      <sz val="10"/>
      <color rgb="FF065E47"/>
      <name val="Calibri"/>
      <family val="2"/>
      <charset val="238"/>
      <scheme val="major"/>
    </font>
    <font>
      <b/>
      <sz val="9"/>
      <color rgb="FF065E47"/>
      <name val="Calibri"/>
      <family val="2"/>
      <charset val="238"/>
      <scheme val="major"/>
    </font>
    <font>
      <b/>
      <i/>
      <sz val="10"/>
      <color rgb="FF065E47"/>
      <name val="Calibri"/>
      <family val="2"/>
      <charset val="238"/>
      <scheme val="major"/>
    </font>
    <font>
      <b/>
      <i/>
      <sz val="8"/>
      <color rgb="FFFF0000"/>
      <name val="Calibri"/>
      <family val="2"/>
      <charset val="238"/>
      <scheme val="major"/>
    </font>
    <font>
      <i/>
      <sz val="10.5"/>
      <color theme="4" tint="-0.249977111117893"/>
      <name val="Calibri"/>
      <family val="2"/>
      <charset val="238"/>
      <scheme val="major"/>
    </font>
    <font>
      <sz val="18"/>
      <color theme="0"/>
      <name val="Segoe UI"/>
      <family val="2"/>
      <charset val="238"/>
    </font>
    <font>
      <sz val="9"/>
      <color theme="4" tint="-0.499984740745262"/>
      <name val="Calibri"/>
      <family val="2"/>
      <charset val="238"/>
      <scheme val="major"/>
    </font>
    <font>
      <sz val="9"/>
      <color theme="4" tint="-0.249977111117893"/>
      <name val="Calibri"/>
      <family val="2"/>
      <charset val="238"/>
      <scheme val="major"/>
    </font>
    <font>
      <sz val="8"/>
      <name val="Garamond"/>
      <family val="1"/>
      <charset val="238"/>
    </font>
    <font>
      <i/>
      <sz val="8.5"/>
      <name val="Calibri"/>
      <family val="2"/>
      <charset val="238"/>
      <scheme val="major"/>
    </font>
    <font>
      <i/>
      <sz val="9"/>
      <color theme="4"/>
      <name val="Calibri"/>
      <family val="2"/>
      <charset val="238"/>
      <scheme val="major"/>
    </font>
    <font>
      <b/>
      <i/>
      <sz val="9"/>
      <color theme="0"/>
      <name val="Calibri"/>
      <family val="2"/>
      <charset val="238"/>
      <scheme val="major"/>
    </font>
    <font>
      <b/>
      <i/>
      <sz val="9"/>
      <color theme="4"/>
      <name val="Calibri"/>
      <family val="2"/>
      <charset val="238"/>
      <scheme val="major"/>
    </font>
    <font>
      <sz val="11"/>
      <color indexed="62"/>
      <name val="Segoe UI"/>
      <family val="2"/>
      <charset val="238"/>
    </font>
    <font>
      <i/>
      <sz val="10"/>
      <color indexed="62"/>
      <name val="Segoe UI Semibold"/>
      <family val="2"/>
      <charset val="238"/>
    </font>
    <font>
      <sz val="10"/>
      <name val="Segoe UI Semibold"/>
      <family val="2"/>
      <charset val="238"/>
    </font>
    <font>
      <b/>
      <sz val="10"/>
      <color theme="4"/>
      <name val="Calibri"/>
      <family val="2"/>
      <charset val="238"/>
      <scheme val="major"/>
    </font>
    <font>
      <sz val="10.5"/>
      <name val="Arial Narrow"/>
      <family val="2"/>
      <charset val="238"/>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EBFAFF"/>
        <bgColor indexed="64"/>
      </patternFill>
    </fill>
  </fills>
  <borders count="85">
    <border>
      <left/>
      <right/>
      <top/>
      <bottom/>
      <diagonal/>
    </border>
    <border>
      <left/>
      <right style="medium">
        <color indexed="12"/>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12"/>
      </left>
      <right/>
      <top/>
      <bottom/>
      <diagonal/>
    </border>
    <border>
      <left style="medium">
        <color indexed="64"/>
      </left>
      <right style="thin">
        <color indexed="64"/>
      </right>
      <top style="thin">
        <color indexed="64"/>
      </top>
      <bottom style="thin">
        <color indexed="64"/>
      </bottom>
      <diagonal/>
    </border>
    <border>
      <left/>
      <right style="medium">
        <color indexed="12"/>
      </right>
      <top style="medium">
        <color indexed="12"/>
      </top>
      <bottom style="medium">
        <color indexed="12"/>
      </bottom>
      <diagonal/>
    </border>
    <border>
      <left style="hair">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ck">
        <color theme="4"/>
      </left>
      <right style="thick">
        <color theme="4"/>
      </right>
      <top style="thick">
        <color theme="4"/>
      </top>
      <bottom style="thin">
        <color indexed="64"/>
      </bottom>
      <diagonal/>
    </border>
    <border>
      <left style="thick">
        <color theme="4"/>
      </left>
      <right style="thick">
        <color theme="4"/>
      </right>
      <top/>
      <bottom style="thin">
        <color indexed="64"/>
      </bottom>
      <diagonal/>
    </border>
    <border>
      <left/>
      <right style="medium">
        <color indexed="64"/>
      </right>
      <top/>
      <bottom/>
      <diagonal/>
    </border>
    <border>
      <left style="hair">
        <color theme="8" tint="-0.24994659260841701"/>
      </left>
      <right/>
      <top style="hair">
        <color theme="8" tint="-0.24994659260841701"/>
      </top>
      <bottom/>
      <diagonal/>
    </border>
    <border>
      <left/>
      <right/>
      <top style="hair">
        <color theme="8" tint="-0.24994659260841701"/>
      </top>
      <bottom/>
      <diagonal/>
    </border>
    <border>
      <left/>
      <right style="hair">
        <color theme="8" tint="-0.24994659260841701"/>
      </right>
      <top style="hair">
        <color theme="8" tint="-0.24994659260841701"/>
      </top>
      <bottom/>
      <diagonal/>
    </border>
    <border>
      <left style="hair">
        <color theme="8" tint="-0.24994659260841701"/>
      </left>
      <right/>
      <top/>
      <bottom/>
      <diagonal/>
    </border>
    <border>
      <left/>
      <right style="hair">
        <color theme="8" tint="-0.24994659260841701"/>
      </right>
      <top/>
      <bottom/>
      <diagonal/>
    </border>
    <border>
      <left style="hair">
        <color theme="8" tint="-0.24994659260841701"/>
      </left>
      <right/>
      <top/>
      <bottom style="hair">
        <color theme="8" tint="-0.24994659260841701"/>
      </bottom>
      <diagonal/>
    </border>
    <border>
      <left/>
      <right/>
      <top/>
      <bottom style="hair">
        <color theme="8" tint="-0.24994659260841701"/>
      </bottom>
      <diagonal/>
    </border>
    <border>
      <left/>
      <right style="hair">
        <color theme="8" tint="-0.24994659260841701"/>
      </right>
      <top/>
      <bottom style="hair">
        <color theme="8" tint="-0.2499465926084170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medium">
        <color indexed="64"/>
      </bottom>
      <diagonal/>
    </border>
    <border>
      <left style="medium">
        <color indexed="64"/>
      </left>
      <right style="thin">
        <color indexed="64"/>
      </right>
      <top/>
      <bottom style="thick">
        <color theme="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style="medium">
        <color theme="4"/>
      </right>
      <top/>
      <bottom/>
      <diagonal/>
    </border>
    <border>
      <left style="medium">
        <color theme="4"/>
      </left>
      <right/>
      <top/>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s>
  <cellStyleXfs count="9">
    <xf numFmtId="0" fontId="0" fillId="0" borderId="0"/>
    <xf numFmtId="16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315">
    <xf numFmtId="0" fontId="0" fillId="0" borderId="0" xfId="0"/>
    <xf numFmtId="0" fontId="4" fillId="0" borderId="0" xfId="0" applyFont="1" applyFill="1" applyProtection="1">
      <protection hidden="1"/>
    </xf>
    <xf numFmtId="0" fontId="3" fillId="0" borderId="0" xfId="0" applyFont="1" applyFill="1" applyProtection="1">
      <protection hidden="1"/>
    </xf>
    <xf numFmtId="5" fontId="3" fillId="0" borderId="0" xfId="0" applyNumberFormat="1" applyFont="1" applyFill="1" applyProtection="1">
      <protection hidden="1"/>
    </xf>
    <xf numFmtId="44" fontId="6" fillId="0" borderId="2" xfId="3" applyFont="1" applyFill="1" applyBorder="1" applyAlignment="1" applyProtection="1">
      <protection hidden="1"/>
    </xf>
    <xf numFmtId="0" fontId="7" fillId="0" borderId="2" xfId="0" applyFont="1" applyFill="1" applyBorder="1" applyAlignment="1" applyProtection="1">
      <alignment horizontal="center"/>
      <protection hidden="1"/>
    </xf>
    <xf numFmtId="9" fontId="6" fillId="0" borderId="2" xfId="0" applyNumberFormat="1" applyFont="1" applyFill="1" applyBorder="1" applyAlignment="1" applyProtection="1">
      <protection hidden="1"/>
    </xf>
    <xf numFmtId="44" fontId="6" fillId="0" borderId="2" xfId="3" applyFont="1" applyFill="1" applyBorder="1" applyProtection="1">
      <protection hidden="1"/>
    </xf>
    <xf numFmtId="0" fontId="7" fillId="0" borderId="2" xfId="0" applyFont="1" applyFill="1" applyBorder="1" applyAlignment="1" applyProtection="1">
      <alignment horizontal="center" vertical="center"/>
      <protection hidden="1"/>
    </xf>
    <xf numFmtId="9" fontId="6" fillId="0" borderId="2" xfId="0" applyNumberFormat="1" applyFont="1" applyFill="1" applyBorder="1" applyProtection="1">
      <protection hidden="1"/>
    </xf>
    <xf numFmtId="0" fontId="0" fillId="0" borderId="0" xfId="0" applyBorder="1" applyProtection="1">
      <protection hidden="1"/>
    </xf>
    <xf numFmtId="5" fontId="11" fillId="2" borderId="6" xfId="0" applyNumberFormat="1" applyFont="1" applyFill="1" applyBorder="1" applyAlignment="1" applyProtection="1">
      <alignment horizontal="center" vertical="center" wrapText="1"/>
      <protection hidden="1"/>
    </xf>
    <xf numFmtId="166" fontId="17" fillId="2" borderId="4" xfId="1" applyNumberFormat="1" applyFont="1" applyFill="1" applyBorder="1" applyAlignment="1" applyProtection="1">
      <alignment horizontal="center" vertical="center"/>
      <protection hidden="1"/>
    </xf>
    <xf numFmtId="4" fontId="18" fillId="2" borderId="26" xfId="3" applyNumberFormat="1" applyFont="1" applyFill="1" applyBorder="1" applyAlignment="1" applyProtection="1">
      <alignment horizontal="center" vertical="center"/>
      <protection hidden="1"/>
    </xf>
    <xf numFmtId="10" fontId="6" fillId="3" borderId="29" xfId="0" applyNumberFormat="1" applyFont="1" applyFill="1" applyBorder="1" applyAlignment="1" applyProtection="1">
      <alignment horizontal="center"/>
      <protection hidden="1"/>
    </xf>
    <xf numFmtId="44" fontId="6" fillId="3" borderId="29" xfId="3" applyFont="1" applyFill="1" applyBorder="1" applyAlignment="1" applyProtection="1">
      <alignment horizontal="center"/>
      <protection hidden="1"/>
    </xf>
    <xf numFmtId="0" fontId="21" fillId="0" borderId="30" xfId="0" applyFont="1" applyFill="1" applyBorder="1" applyAlignment="1" applyProtection="1">
      <alignment horizontal="center" wrapText="1"/>
      <protection hidden="1"/>
    </xf>
    <xf numFmtId="10" fontId="22" fillId="2" borderId="32" xfId="0" applyNumberFormat="1" applyFont="1" applyFill="1" applyBorder="1" applyAlignment="1" applyProtection="1">
      <alignment horizontal="center"/>
      <protection hidden="1"/>
    </xf>
    <xf numFmtId="5" fontId="22" fillId="2" borderId="32" xfId="0" applyNumberFormat="1" applyFont="1" applyFill="1" applyBorder="1" applyAlignment="1" applyProtection="1">
      <alignment horizontal="center" wrapText="1"/>
      <protection hidden="1"/>
    </xf>
    <xf numFmtId="5" fontId="22" fillId="2" borderId="11" xfId="0" applyNumberFormat="1" applyFont="1" applyFill="1" applyBorder="1" applyAlignment="1" applyProtection="1">
      <alignment horizontal="center" wrapText="1"/>
      <protection hidden="1"/>
    </xf>
    <xf numFmtId="5" fontId="23" fillId="2" borderId="11" xfId="0" applyNumberFormat="1" applyFont="1" applyFill="1" applyBorder="1" applyAlignment="1" applyProtection="1">
      <alignment horizontal="center" wrapText="1"/>
      <protection hidden="1"/>
    </xf>
    <xf numFmtId="5" fontId="24" fillId="2" borderId="28" xfId="0" applyNumberFormat="1" applyFont="1" applyFill="1" applyBorder="1" applyAlignment="1" applyProtection="1">
      <alignment horizontal="center" wrapText="1"/>
      <protection hidden="1"/>
    </xf>
    <xf numFmtId="0" fontId="15" fillId="0" borderId="0" xfId="0" applyFont="1" applyFill="1" applyProtection="1">
      <protection hidden="1"/>
    </xf>
    <xf numFmtId="4" fontId="3" fillId="0" borderId="0" xfId="0" applyNumberFormat="1" applyFont="1" applyFill="1" applyProtection="1">
      <protection hidden="1"/>
    </xf>
    <xf numFmtId="0" fontId="6" fillId="0" borderId="0" xfId="0" applyFont="1" applyFill="1" applyProtection="1">
      <protection hidden="1"/>
    </xf>
    <xf numFmtId="0" fontId="9" fillId="0" borderId="0" xfId="0" applyFont="1" applyFill="1" applyProtection="1">
      <protection hidden="1"/>
    </xf>
    <xf numFmtId="167" fontId="3" fillId="0" borderId="0" xfId="0" applyNumberFormat="1" applyFont="1" applyFill="1" applyProtection="1">
      <protection hidden="1"/>
    </xf>
    <xf numFmtId="44" fontId="6" fillId="0" borderId="0" xfId="3" applyFont="1"/>
    <xf numFmtId="4" fontId="0" fillId="0" borderId="0" xfId="0" applyNumberFormat="1"/>
    <xf numFmtId="10" fontId="0" fillId="0" borderId="0" xfId="2" applyNumberFormat="1" applyFont="1"/>
    <xf numFmtId="5" fontId="11" fillId="2" borderId="33" xfId="0" applyNumberFormat="1" applyFont="1" applyFill="1" applyBorder="1" applyAlignment="1" applyProtection="1">
      <alignment horizontal="center" vertical="center" wrapText="1"/>
      <protection hidden="1"/>
    </xf>
    <xf numFmtId="5" fontId="11" fillId="2" borderId="0" xfId="0" applyNumberFormat="1" applyFont="1" applyFill="1" applyBorder="1" applyAlignment="1" applyProtection="1">
      <alignment horizontal="center" vertical="center" wrapText="1"/>
      <protection hidden="1"/>
    </xf>
    <xf numFmtId="9" fontId="17" fillId="2" borderId="4" xfId="2" applyFont="1" applyFill="1" applyBorder="1" applyAlignment="1" applyProtection="1">
      <alignment horizontal="center" vertical="center"/>
      <protection hidden="1"/>
    </xf>
    <xf numFmtId="164" fontId="17" fillId="2" borderId="4" xfId="1" applyNumberFormat="1" applyFont="1" applyFill="1" applyBorder="1" applyAlignment="1" applyProtection="1">
      <alignment horizontal="center" vertical="center"/>
      <protection hidden="1"/>
    </xf>
    <xf numFmtId="10" fontId="0" fillId="0" borderId="0" xfId="0" applyNumberFormat="1"/>
    <xf numFmtId="4" fontId="16" fillId="2" borderId="27" xfId="3" applyNumberFormat="1" applyFont="1" applyFill="1" applyBorder="1" applyAlignment="1" applyProtection="1">
      <alignment horizontal="center" vertical="center"/>
      <protection hidden="1"/>
    </xf>
    <xf numFmtId="165" fontId="17" fillId="2" borderId="14" xfId="1" applyNumberFormat="1" applyFont="1" applyFill="1" applyBorder="1" applyAlignment="1" applyProtection="1">
      <alignment horizontal="center" vertical="center"/>
      <protection hidden="1"/>
    </xf>
    <xf numFmtId="167" fontId="17" fillId="2" borderId="14" xfId="1" applyNumberFormat="1" applyFont="1" applyFill="1" applyBorder="1" applyAlignment="1" applyProtection="1">
      <alignment horizontal="center" vertical="center"/>
      <protection hidden="1"/>
    </xf>
    <xf numFmtId="167" fontId="18" fillId="2" borderId="24" xfId="1" applyNumberFormat="1" applyFont="1" applyFill="1" applyBorder="1" applyAlignment="1" applyProtection="1">
      <alignment horizontal="center" vertical="center"/>
      <protection hidden="1"/>
    </xf>
    <xf numFmtId="4" fontId="16" fillId="2" borderId="16" xfId="3" applyNumberFormat="1" applyFont="1" applyFill="1" applyBorder="1" applyAlignment="1" applyProtection="1">
      <alignment horizontal="center" vertical="center"/>
      <protection hidden="1"/>
    </xf>
    <xf numFmtId="4" fontId="17" fillId="2" borderId="16" xfId="3" applyNumberFormat="1" applyFont="1" applyFill="1" applyBorder="1" applyAlignment="1" applyProtection="1">
      <alignment horizontal="center" vertical="center"/>
      <protection hidden="1"/>
    </xf>
    <xf numFmtId="2" fontId="17" fillId="2" borderId="16" xfId="1" applyNumberFormat="1" applyFont="1" applyFill="1" applyBorder="1" applyAlignment="1" applyProtection="1">
      <alignment horizontal="center" vertical="center"/>
      <protection hidden="1"/>
    </xf>
    <xf numFmtId="2" fontId="18" fillId="2" borderId="26" xfId="1" applyNumberFormat="1" applyFont="1" applyFill="1" applyBorder="1" applyAlignment="1" applyProtection="1">
      <alignment horizontal="center" vertical="center"/>
      <protection hidden="1"/>
    </xf>
    <xf numFmtId="2" fontId="18" fillId="2" borderId="24" xfId="1" applyNumberFormat="1" applyFont="1" applyFill="1" applyBorder="1" applyAlignment="1" applyProtection="1">
      <alignment horizontal="center" vertical="center"/>
      <protection hidden="1"/>
    </xf>
    <xf numFmtId="4" fontId="16" fillId="2" borderId="21" xfId="3"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wrapText="1"/>
      <protection hidden="1"/>
    </xf>
    <xf numFmtId="5" fontId="8" fillId="2" borderId="36" xfId="0" applyNumberFormat="1" applyFont="1" applyFill="1" applyBorder="1" applyAlignment="1" applyProtection="1">
      <alignment vertical="center" wrapText="1"/>
      <protection hidden="1"/>
    </xf>
    <xf numFmtId="5" fontId="8" fillId="2" borderId="37" xfId="0" applyNumberFormat="1" applyFont="1" applyFill="1" applyBorder="1" applyAlignment="1" applyProtection="1">
      <alignment vertical="center" wrapText="1"/>
      <protection hidden="1"/>
    </xf>
    <xf numFmtId="5" fontId="12" fillId="2" borderId="5" xfId="0" applyNumberFormat="1" applyFont="1" applyFill="1" applyBorder="1" applyAlignment="1" applyProtection="1">
      <alignment vertical="center" wrapText="1"/>
      <protection hidden="1"/>
    </xf>
    <xf numFmtId="0" fontId="14" fillId="2" borderId="38" xfId="0" applyFont="1" applyFill="1" applyBorder="1" applyAlignment="1" applyProtection="1">
      <alignment vertical="center"/>
      <protection hidden="1"/>
    </xf>
    <xf numFmtId="5" fontId="12" fillId="2" borderId="19" xfId="0" applyNumberFormat="1" applyFont="1" applyFill="1" applyBorder="1" applyAlignment="1" applyProtection="1">
      <alignment vertical="center" wrapText="1"/>
      <protection hidden="1"/>
    </xf>
    <xf numFmtId="0" fontId="14" fillId="2" borderId="22" xfId="0" applyFont="1" applyFill="1" applyBorder="1" applyAlignment="1" applyProtection="1">
      <alignment vertical="center"/>
      <protection hidden="1"/>
    </xf>
    <xf numFmtId="5" fontId="11" fillId="2" borderId="5" xfId="0" applyNumberFormat="1" applyFont="1" applyFill="1" applyBorder="1" applyAlignment="1" applyProtection="1">
      <alignment horizontal="center" vertical="center" wrapText="1"/>
      <protection hidden="1"/>
    </xf>
    <xf numFmtId="0" fontId="27" fillId="0" borderId="0" xfId="0" applyFont="1" applyFill="1" applyProtection="1">
      <protection hidden="1"/>
    </xf>
    <xf numFmtId="0" fontId="28" fillId="0" borderId="0" xfId="0" applyFont="1" applyFill="1" applyProtection="1">
      <protection hidden="1"/>
    </xf>
    <xf numFmtId="5" fontId="28" fillId="0" borderId="0" xfId="0" applyNumberFormat="1" applyFont="1" applyFill="1" applyProtection="1">
      <protection hidden="1"/>
    </xf>
    <xf numFmtId="5" fontId="30" fillId="2" borderId="0" xfId="0" applyNumberFormat="1" applyFont="1" applyFill="1" applyBorder="1" applyAlignment="1" applyProtection="1">
      <alignment horizontal="centerContinuous"/>
      <protection hidden="1"/>
    </xf>
    <xf numFmtId="0" fontId="33" fillId="0" borderId="0" xfId="0" applyFont="1" applyFill="1" applyBorder="1" applyAlignment="1" applyProtection="1">
      <alignment horizontal="left" wrapText="1" indent="1"/>
      <protection hidden="1"/>
    </xf>
    <xf numFmtId="0" fontId="38" fillId="0" borderId="0" xfId="0" applyFont="1" applyFill="1" applyAlignment="1" applyProtection="1">
      <alignment horizontal="center"/>
      <protection hidden="1"/>
    </xf>
    <xf numFmtId="0" fontId="39" fillId="0" borderId="0" xfId="0" applyFont="1" applyFill="1" applyAlignment="1" applyProtection="1">
      <alignment horizontal="center" wrapText="1"/>
      <protection hidden="1"/>
    </xf>
    <xf numFmtId="0" fontId="39" fillId="0" borderId="0" xfId="0" applyFont="1" applyFill="1" applyAlignment="1" applyProtection="1">
      <alignment horizontal="center"/>
      <protection hidden="1"/>
    </xf>
    <xf numFmtId="5" fontId="42" fillId="2" borderId="3" xfId="0" applyNumberFormat="1" applyFont="1" applyFill="1" applyBorder="1" applyAlignment="1" applyProtection="1">
      <alignment horizontal="center" vertical="center" wrapText="1"/>
      <protection hidden="1"/>
    </xf>
    <xf numFmtId="5" fontId="42" fillId="2" borderId="4" xfId="0" applyNumberFormat="1" applyFont="1" applyFill="1" applyBorder="1" applyAlignment="1" applyProtection="1">
      <alignment horizontal="center" vertical="center" wrapText="1"/>
      <protection hidden="1"/>
    </xf>
    <xf numFmtId="0" fontId="28" fillId="0" borderId="0" xfId="0" applyFont="1" applyBorder="1" applyProtection="1">
      <protection hidden="1"/>
    </xf>
    <xf numFmtId="5" fontId="42" fillId="2" borderId="6" xfId="0" applyNumberFormat="1" applyFont="1" applyFill="1" applyBorder="1" applyAlignment="1" applyProtection="1">
      <alignment horizontal="center" vertical="center" wrapText="1"/>
      <protection hidden="1"/>
    </xf>
    <xf numFmtId="5" fontId="43" fillId="2" borderId="8" xfId="0" applyNumberFormat="1" applyFont="1" applyFill="1" applyBorder="1" applyAlignment="1" applyProtection="1">
      <alignment horizontal="center" vertical="center" wrapText="1"/>
      <protection hidden="1"/>
    </xf>
    <xf numFmtId="0" fontId="45" fillId="0" borderId="0" xfId="0" applyFont="1" applyFill="1" applyProtection="1">
      <protection hidden="1"/>
    </xf>
    <xf numFmtId="5" fontId="43" fillId="2" borderId="11" xfId="0" applyNumberFormat="1" applyFont="1" applyFill="1" applyBorder="1" applyAlignment="1" applyProtection="1">
      <alignment horizontal="center" vertical="center" wrapText="1"/>
      <protection hidden="1"/>
    </xf>
    <xf numFmtId="10" fontId="46" fillId="2" borderId="31" xfId="0" applyNumberFormat="1" applyFont="1" applyFill="1" applyBorder="1" applyAlignment="1" applyProtection="1">
      <alignment horizontal="center"/>
      <protection hidden="1"/>
    </xf>
    <xf numFmtId="10" fontId="46" fillId="2" borderId="32" xfId="0" applyNumberFormat="1" applyFont="1" applyFill="1" applyBorder="1" applyAlignment="1" applyProtection="1">
      <alignment horizontal="center"/>
      <protection hidden="1"/>
    </xf>
    <xf numFmtId="5" fontId="47" fillId="2" borderId="32" xfId="0" applyNumberFormat="1" applyFont="1" applyFill="1" applyBorder="1" applyAlignment="1" applyProtection="1">
      <alignment horizontal="center" wrapText="1"/>
      <protection hidden="1"/>
    </xf>
    <xf numFmtId="4" fontId="28" fillId="2" borderId="49" xfId="3" applyNumberFormat="1" applyFont="1" applyFill="1" applyBorder="1" applyAlignment="1" applyProtection="1">
      <alignment horizontal="center" vertical="center"/>
      <protection hidden="1"/>
    </xf>
    <xf numFmtId="4" fontId="45" fillId="2" borderId="15" xfId="3" applyNumberFormat="1" applyFont="1" applyFill="1" applyBorder="1" applyAlignment="1" applyProtection="1">
      <alignment horizontal="center" vertical="center"/>
      <protection hidden="1"/>
    </xf>
    <xf numFmtId="4" fontId="45" fillId="2" borderId="16" xfId="3" applyNumberFormat="1" applyFont="1" applyFill="1" applyBorder="1" applyAlignment="1" applyProtection="1">
      <alignment horizontal="center" vertical="center"/>
      <protection hidden="1"/>
    </xf>
    <xf numFmtId="4" fontId="28" fillId="0" borderId="0" xfId="0" applyNumberFormat="1" applyFont="1" applyFill="1" applyProtection="1">
      <protection hidden="1"/>
    </xf>
    <xf numFmtId="4" fontId="28" fillId="2" borderId="0" xfId="3" applyNumberFormat="1" applyFont="1" applyFill="1" applyBorder="1" applyAlignment="1" applyProtection="1">
      <alignment horizontal="center" vertical="center"/>
      <protection hidden="1"/>
    </xf>
    <xf numFmtId="2" fontId="51" fillId="2" borderId="23" xfId="1" applyNumberFormat="1" applyFont="1" applyFill="1" applyBorder="1" applyAlignment="1" applyProtection="1">
      <alignment vertical="center"/>
      <protection hidden="1"/>
    </xf>
    <xf numFmtId="2" fontId="51" fillId="2" borderId="24" xfId="1" applyNumberFormat="1" applyFont="1" applyFill="1" applyBorder="1" applyAlignment="1" applyProtection="1">
      <alignment horizontal="center" vertical="center"/>
      <protection hidden="1"/>
    </xf>
    <xf numFmtId="4" fontId="48" fillId="2" borderId="25" xfId="3" applyNumberFormat="1" applyFont="1" applyFill="1" applyBorder="1" applyAlignment="1" applyProtection="1">
      <alignment horizontal="center" vertical="center"/>
      <protection hidden="1"/>
    </xf>
    <xf numFmtId="4" fontId="48" fillId="2" borderId="26" xfId="3" applyNumberFormat="1" applyFont="1" applyFill="1" applyBorder="1" applyAlignment="1" applyProtection="1">
      <alignment horizontal="center" vertical="center"/>
      <protection hidden="1"/>
    </xf>
    <xf numFmtId="2" fontId="48" fillId="2" borderId="26" xfId="1" applyNumberFormat="1" applyFont="1" applyFill="1" applyBorder="1" applyAlignment="1" applyProtection="1">
      <alignment horizontal="center" vertical="center"/>
      <protection hidden="1"/>
    </xf>
    <xf numFmtId="0" fontId="40" fillId="0" borderId="0" xfId="0" applyFont="1" applyFill="1" applyProtection="1">
      <protection hidden="1"/>
    </xf>
    <xf numFmtId="4" fontId="37" fillId="2" borderId="16" xfId="3" applyNumberFormat="1" applyFont="1" applyFill="1" applyBorder="1" applyAlignment="1" applyProtection="1">
      <alignment horizontal="center" vertical="center"/>
      <protection hidden="1"/>
    </xf>
    <xf numFmtId="166" fontId="37" fillId="2" borderId="4" xfId="1" applyNumberFormat="1" applyFont="1" applyFill="1" applyBorder="1" applyAlignment="1" applyProtection="1">
      <alignment horizontal="center" vertical="center"/>
      <protection hidden="1"/>
    </xf>
    <xf numFmtId="4" fontId="50" fillId="2" borderId="26" xfId="3" applyNumberFormat="1" applyFont="1" applyFill="1" applyBorder="1" applyAlignment="1" applyProtection="1">
      <alignment horizontal="center" vertical="center"/>
      <protection hidden="1"/>
    </xf>
    <xf numFmtId="2" fontId="50" fillId="2" borderId="26" xfId="1" applyNumberFormat="1" applyFont="1" applyFill="1" applyBorder="1" applyAlignment="1" applyProtection="1">
      <alignment horizontal="center" vertical="center"/>
      <protection hidden="1"/>
    </xf>
    <xf numFmtId="2" fontId="50" fillId="2" borderId="24" xfId="1" applyNumberFormat="1" applyFont="1" applyFill="1" applyBorder="1" applyAlignment="1" applyProtection="1">
      <alignment horizontal="center" vertical="center"/>
      <protection hidden="1"/>
    </xf>
    <xf numFmtId="0" fontId="32" fillId="0" borderId="1" xfId="0" applyFont="1" applyFill="1" applyBorder="1" applyAlignment="1" applyProtection="1">
      <alignment horizontal="right" vertical="center" indent="2"/>
      <protection hidden="1"/>
    </xf>
    <xf numFmtId="0" fontId="28" fillId="0" borderId="41" xfId="0" applyFont="1" applyBorder="1" applyAlignment="1" applyProtection="1"/>
    <xf numFmtId="5" fontId="39" fillId="2" borderId="44" xfId="0" applyNumberFormat="1" applyFont="1" applyFill="1" applyBorder="1" applyAlignment="1" applyProtection="1">
      <alignment vertical="center" wrapText="1"/>
      <protection hidden="1"/>
    </xf>
    <xf numFmtId="5" fontId="39" fillId="2" borderId="45" xfId="0" applyNumberFormat="1" applyFont="1" applyFill="1" applyBorder="1" applyAlignment="1" applyProtection="1">
      <alignment vertical="center" wrapText="1"/>
      <protection hidden="1"/>
    </xf>
    <xf numFmtId="5" fontId="39" fillId="2" borderId="46" xfId="0" applyNumberFormat="1" applyFont="1" applyFill="1" applyBorder="1" applyAlignment="1" applyProtection="1">
      <alignment vertical="center" wrapText="1"/>
      <protection hidden="1"/>
    </xf>
    <xf numFmtId="5" fontId="44" fillId="2" borderId="7" xfId="0" applyNumberFormat="1" applyFont="1" applyFill="1" applyBorder="1" applyAlignment="1" applyProtection="1">
      <alignment horizontal="center" vertical="center" wrapText="1"/>
      <protection hidden="1"/>
    </xf>
    <xf numFmtId="5" fontId="44" fillId="2" borderId="8" xfId="0" applyNumberFormat="1" applyFont="1" applyFill="1" applyBorder="1" applyAlignment="1" applyProtection="1">
      <alignment horizontal="center" vertical="center" wrapText="1"/>
      <protection hidden="1"/>
    </xf>
    <xf numFmtId="2" fontId="58" fillId="2" borderId="16" xfId="1" applyNumberFormat="1" applyFont="1" applyFill="1" applyBorder="1" applyAlignment="1" applyProtection="1">
      <alignment horizontal="center" vertical="center"/>
      <protection hidden="1"/>
    </xf>
    <xf numFmtId="4" fontId="28" fillId="2" borderId="13" xfId="3" applyNumberFormat="1" applyFont="1" applyFill="1" applyBorder="1" applyAlignment="1" applyProtection="1">
      <alignment horizontal="center" vertical="center"/>
      <protection hidden="1"/>
    </xf>
    <xf numFmtId="4" fontId="28" fillId="2" borderId="14" xfId="3" applyNumberFormat="1" applyFont="1" applyFill="1" applyBorder="1" applyAlignment="1" applyProtection="1">
      <alignment horizontal="center" vertical="center"/>
      <protection hidden="1"/>
    </xf>
    <xf numFmtId="2" fontId="58" fillId="2" borderId="21" xfId="1" applyNumberFormat="1" applyFont="1" applyFill="1" applyBorder="1" applyAlignment="1" applyProtection="1">
      <alignment horizontal="center" vertical="center"/>
      <protection hidden="1"/>
    </xf>
    <xf numFmtId="4" fontId="28" fillId="2" borderId="19" xfId="3" applyNumberFormat="1" applyFont="1" applyFill="1" applyBorder="1" applyAlignment="1" applyProtection="1">
      <alignment horizontal="center" vertical="center"/>
      <protection hidden="1"/>
    </xf>
    <xf numFmtId="10" fontId="53" fillId="0" borderId="23" xfId="2" applyNumberFormat="1" applyFont="1" applyFill="1" applyBorder="1" applyAlignment="1" applyProtection="1">
      <alignment horizontal="center"/>
      <protection hidden="1"/>
    </xf>
    <xf numFmtId="0" fontId="52" fillId="0" borderId="0" xfId="0" applyFont="1" applyFill="1" applyProtection="1">
      <protection hidden="1"/>
    </xf>
    <xf numFmtId="4" fontId="28" fillId="0" borderId="0" xfId="0" quotePrefix="1" applyNumberFormat="1" applyFont="1" applyFill="1" applyProtection="1">
      <protection hidden="1"/>
    </xf>
    <xf numFmtId="5" fontId="36" fillId="2" borderId="9" xfId="0" applyNumberFormat="1" applyFont="1" applyFill="1" applyBorder="1" applyAlignment="1" applyProtection="1">
      <alignment horizontal="center" vertical="center" wrapText="1"/>
      <protection hidden="1"/>
    </xf>
    <xf numFmtId="5" fontId="36" fillId="2" borderId="10" xfId="0" applyNumberFormat="1" applyFont="1" applyFill="1" applyBorder="1" applyAlignment="1" applyProtection="1">
      <alignment horizontal="center" vertical="center" wrapText="1"/>
      <protection hidden="1"/>
    </xf>
    <xf numFmtId="5" fontId="36" fillId="2" borderId="11" xfId="0" applyNumberFormat="1" applyFont="1" applyFill="1" applyBorder="1" applyAlignment="1" applyProtection="1">
      <alignment horizontal="center" vertical="center" wrapText="1"/>
      <protection hidden="1"/>
    </xf>
    <xf numFmtId="5" fontId="55" fillId="2" borderId="9" xfId="0" applyNumberFormat="1" applyFont="1" applyFill="1" applyBorder="1" applyAlignment="1" applyProtection="1">
      <alignment horizontal="center" vertical="center" wrapText="1"/>
      <protection hidden="1"/>
    </xf>
    <xf numFmtId="166" fontId="28" fillId="2" borderId="12" xfId="1" applyNumberFormat="1" applyFont="1" applyFill="1" applyBorder="1" applyAlignment="1" applyProtection="1">
      <alignment horizontal="center" vertical="center"/>
      <protection hidden="1"/>
    </xf>
    <xf numFmtId="166" fontId="28" fillId="2" borderId="18" xfId="1" applyNumberFormat="1" applyFont="1" applyFill="1" applyBorder="1" applyAlignment="1" applyProtection="1">
      <alignment horizontal="center" vertical="center"/>
      <protection hidden="1"/>
    </xf>
    <xf numFmtId="2" fontId="40" fillId="2" borderId="23" xfId="1" applyNumberFormat="1" applyFont="1" applyFill="1" applyBorder="1" applyAlignment="1" applyProtection="1">
      <alignment vertical="center"/>
      <protection hidden="1"/>
    </xf>
    <xf numFmtId="4" fontId="49" fillId="2" borderId="23" xfId="3" applyNumberFormat="1" applyFont="1" applyFill="1" applyBorder="1" applyAlignment="1" applyProtection="1">
      <alignment horizontal="center" vertical="center"/>
      <protection hidden="1"/>
    </xf>
    <xf numFmtId="4" fontId="61" fillId="2" borderId="23" xfId="3" applyNumberFormat="1" applyFont="1" applyFill="1" applyBorder="1" applyAlignment="1" applyProtection="1">
      <alignment horizontal="center" vertical="center"/>
      <protection hidden="1"/>
    </xf>
    <xf numFmtId="4" fontId="60" fillId="2" borderId="12" xfId="3" applyNumberFormat="1" applyFont="1" applyFill="1" applyBorder="1" applyAlignment="1" applyProtection="1">
      <alignment horizontal="center" vertical="center"/>
      <protection hidden="1"/>
    </xf>
    <xf numFmtId="4" fontId="62" fillId="2" borderId="23" xfId="3" applyNumberFormat="1" applyFont="1" applyFill="1" applyBorder="1" applyAlignment="1" applyProtection="1">
      <alignment horizontal="center" vertical="center"/>
      <protection hidden="1"/>
    </xf>
    <xf numFmtId="5" fontId="41" fillId="6" borderId="0" xfId="0" applyNumberFormat="1" applyFont="1" applyFill="1" applyBorder="1" applyAlignment="1" applyProtection="1">
      <alignment horizontal="center" vertical="center" wrapText="1"/>
      <protection hidden="1"/>
    </xf>
    <xf numFmtId="4" fontId="37" fillId="6" borderId="15" xfId="3" applyNumberFormat="1" applyFont="1" applyFill="1" applyBorder="1" applyAlignment="1" applyProtection="1">
      <alignment horizontal="center" vertical="center"/>
      <protection hidden="1"/>
    </xf>
    <xf numFmtId="4" fontId="37" fillId="6" borderId="16" xfId="3" applyNumberFormat="1" applyFont="1" applyFill="1" applyBorder="1" applyAlignment="1" applyProtection="1">
      <alignment horizontal="center" vertical="center"/>
      <protection hidden="1"/>
    </xf>
    <xf numFmtId="4" fontId="50" fillId="6" borderId="25" xfId="3" applyNumberFormat="1" applyFont="1" applyFill="1" applyBorder="1" applyAlignment="1" applyProtection="1">
      <alignment horizontal="center" vertical="center"/>
      <protection hidden="1"/>
    </xf>
    <xf numFmtId="4" fontId="50" fillId="6" borderId="26" xfId="3" applyNumberFormat="1" applyFont="1" applyFill="1" applyBorder="1" applyAlignment="1" applyProtection="1">
      <alignment horizontal="center" vertical="center"/>
      <protection hidden="1"/>
    </xf>
    <xf numFmtId="2" fontId="50" fillId="6" borderId="26" xfId="1" applyNumberFormat="1" applyFont="1" applyFill="1" applyBorder="1" applyAlignment="1" applyProtection="1">
      <alignment horizontal="center" vertical="center"/>
      <protection hidden="1"/>
    </xf>
    <xf numFmtId="5" fontId="30" fillId="5" borderId="54" xfId="0" applyNumberFormat="1" applyFont="1" applyFill="1" applyBorder="1" applyAlignment="1" applyProtection="1">
      <alignment horizontal="centerContinuous"/>
      <protection hidden="1"/>
    </xf>
    <xf numFmtId="5" fontId="30" fillId="5" borderId="55" xfId="0" applyNumberFormat="1" applyFont="1" applyFill="1" applyBorder="1" applyAlignment="1" applyProtection="1">
      <alignment horizontal="centerContinuous"/>
      <protection hidden="1"/>
    </xf>
    <xf numFmtId="0" fontId="0" fillId="0" borderId="0" xfId="0" applyAlignment="1">
      <alignment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0" xfId="0" applyAlignment="1">
      <alignment horizontal="center" vertical="center"/>
    </xf>
    <xf numFmtId="0" fontId="0" fillId="4" borderId="61" xfId="0" applyFill="1" applyBorder="1" applyAlignment="1">
      <alignment horizontal="center" vertical="center" wrapText="1"/>
    </xf>
    <xf numFmtId="0" fontId="63" fillId="0" borderId="0" xfId="0" applyFont="1"/>
    <xf numFmtId="0" fontId="6" fillId="4" borderId="62" xfId="0" applyFont="1" applyFill="1" applyBorder="1" applyAlignment="1">
      <alignment horizontal="center" vertical="center" wrapText="1"/>
    </xf>
    <xf numFmtId="10" fontId="6" fillId="0" borderId="2" xfId="2" applyNumberFormat="1" applyFont="1" applyBorder="1" applyAlignment="1">
      <alignment horizontal="center" vertical="center"/>
    </xf>
    <xf numFmtId="4" fontId="61" fillId="6" borderId="17" xfId="3" applyNumberFormat="1" applyFont="1" applyFill="1" applyBorder="1" applyAlignment="1" applyProtection="1">
      <alignment horizontal="center" vertical="center"/>
      <protection hidden="1"/>
    </xf>
    <xf numFmtId="4" fontId="61" fillId="6" borderId="27" xfId="3" applyNumberFormat="1" applyFont="1" applyFill="1" applyBorder="1" applyAlignment="1" applyProtection="1">
      <alignment horizontal="center" vertical="center"/>
      <protection hidden="1"/>
    </xf>
    <xf numFmtId="0" fontId="27" fillId="0" borderId="0" xfId="0" applyFont="1" applyBorder="1" applyProtection="1">
      <protection hidden="1"/>
    </xf>
    <xf numFmtId="5" fontId="38" fillId="2" borderId="7" xfId="0" applyNumberFormat="1" applyFont="1" applyFill="1" applyBorder="1" applyAlignment="1" applyProtection="1">
      <alignment horizontal="center" vertical="center" wrapText="1"/>
      <protection hidden="1"/>
    </xf>
    <xf numFmtId="5" fontId="38" fillId="2" borderId="8" xfId="0" applyNumberFormat="1" applyFont="1" applyFill="1" applyBorder="1" applyAlignment="1" applyProtection="1">
      <alignment horizontal="center" vertical="center" wrapText="1"/>
      <protection hidden="1"/>
    </xf>
    <xf numFmtId="5" fontId="38" fillId="2" borderId="5" xfId="0" applyNumberFormat="1" applyFont="1" applyFill="1" applyBorder="1" applyAlignment="1" applyProtection="1">
      <alignment horizontal="center" vertical="center" wrapText="1"/>
      <protection hidden="1"/>
    </xf>
    <xf numFmtId="5" fontId="38" fillId="2" borderId="6" xfId="0" applyNumberFormat="1" applyFont="1" applyFill="1" applyBorder="1" applyAlignment="1" applyProtection="1">
      <alignment horizontal="center" vertical="center" wrapText="1"/>
      <protection hidden="1"/>
    </xf>
    <xf numFmtId="10" fontId="69" fillId="2" borderId="31" xfId="0" applyNumberFormat="1" applyFont="1" applyFill="1" applyBorder="1" applyAlignment="1" applyProtection="1">
      <alignment horizontal="center"/>
      <protection hidden="1"/>
    </xf>
    <xf numFmtId="10" fontId="69" fillId="2" borderId="32" xfId="0" applyNumberFormat="1" applyFont="1" applyFill="1" applyBorder="1" applyAlignment="1" applyProtection="1">
      <alignment horizontal="center"/>
      <protection hidden="1"/>
    </xf>
    <xf numFmtId="5" fontId="31" fillId="2" borderId="32" xfId="0" applyNumberFormat="1" applyFont="1" applyFill="1" applyBorder="1" applyAlignment="1" applyProtection="1">
      <alignment horizontal="center" wrapText="1"/>
      <protection hidden="1"/>
    </xf>
    <xf numFmtId="5" fontId="69" fillId="2" borderId="32" xfId="0" applyNumberFormat="1" applyFont="1" applyFill="1" applyBorder="1" applyAlignment="1" applyProtection="1">
      <alignment horizontal="center" wrapText="1"/>
      <protection hidden="1"/>
    </xf>
    <xf numFmtId="5" fontId="69" fillId="2" borderId="11" xfId="0" applyNumberFormat="1" applyFont="1" applyFill="1" applyBorder="1" applyAlignment="1" applyProtection="1">
      <alignment horizontal="center" wrapText="1"/>
      <protection hidden="1"/>
    </xf>
    <xf numFmtId="5" fontId="41" fillId="6" borderId="5" xfId="0" applyNumberFormat="1" applyFont="1" applyFill="1" applyBorder="1" applyAlignment="1" applyProtection="1">
      <alignment horizontal="center" vertical="center" wrapText="1"/>
      <protection hidden="1"/>
    </xf>
    <xf numFmtId="10" fontId="69" fillId="6" borderId="31" xfId="0" applyNumberFormat="1" applyFont="1" applyFill="1" applyBorder="1" applyAlignment="1" applyProtection="1">
      <alignment horizontal="center"/>
      <protection hidden="1"/>
    </xf>
    <xf numFmtId="10" fontId="69" fillId="6" borderId="32" xfId="0" applyNumberFormat="1" applyFont="1" applyFill="1" applyBorder="1" applyAlignment="1" applyProtection="1">
      <alignment horizontal="center"/>
      <protection hidden="1"/>
    </xf>
    <xf numFmtId="5" fontId="31" fillId="6" borderId="32" xfId="0" applyNumberFormat="1" applyFont="1" applyFill="1" applyBorder="1" applyAlignment="1" applyProtection="1">
      <alignment horizontal="center" wrapText="1"/>
      <protection hidden="1"/>
    </xf>
    <xf numFmtId="166" fontId="27" fillId="2" borderId="48" xfId="1" applyNumberFormat="1" applyFont="1" applyFill="1" applyBorder="1" applyAlignment="1" applyProtection="1">
      <alignment horizontal="center" vertical="center"/>
      <protection hidden="1"/>
    </xf>
    <xf numFmtId="0" fontId="0" fillId="0" borderId="61" xfId="0" applyBorder="1" applyAlignment="1">
      <alignment vertical="center" wrapText="1"/>
    </xf>
    <xf numFmtId="10" fontId="6" fillId="0" borderId="61" xfId="0" applyNumberFormat="1" applyFont="1" applyBorder="1" applyAlignment="1">
      <alignment horizontal="center" vertical="center" wrapText="1"/>
    </xf>
    <xf numFmtId="5" fontId="41" fillId="2" borderId="6" xfId="0" applyNumberFormat="1" applyFont="1" applyFill="1" applyBorder="1" applyAlignment="1" applyProtection="1">
      <alignment horizontal="center" vertical="center" wrapText="1"/>
      <protection hidden="1"/>
    </xf>
    <xf numFmtId="5" fontId="38" fillId="2" borderId="0" xfId="0" applyNumberFormat="1" applyFont="1" applyFill="1" applyBorder="1" applyAlignment="1" applyProtection="1">
      <alignment horizontal="center" vertical="center" wrapText="1"/>
      <protection hidden="1"/>
    </xf>
    <xf numFmtId="5" fontId="67" fillId="5" borderId="0" xfId="0" applyNumberFormat="1" applyFont="1" applyFill="1" applyBorder="1" applyAlignment="1" applyProtection="1">
      <alignment horizontal="centerContinuous"/>
      <protection hidden="1"/>
    </xf>
    <xf numFmtId="5" fontId="67" fillId="5" borderId="57" xfId="0" applyNumberFormat="1" applyFont="1" applyFill="1" applyBorder="1" applyAlignment="1" applyProtection="1">
      <alignment horizontal="centerContinuous"/>
      <protection hidden="1"/>
    </xf>
    <xf numFmtId="0" fontId="74" fillId="5" borderId="59" xfId="0" applyFont="1" applyFill="1" applyBorder="1" applyAlignment="1" applyProtection="1">
      <alignment horizontal="centerContinuous" wrapText="1"/>
      <protection hidden="1"/>
    </xf>
    <xf numFmtId="0" fontId="74" fillId="5" borderId="60" xfId="0" applyFont="1" applyFill="1" applyBorder="1" applyAlignment="1" applyProtection="1">
      <alignment horizontal="centerContinuous" wrapText="1"/>
      <protection hidden="1"/>
    </xf>
    <xf numFmtId="4" fontId="37" fillId="2" borderId="16" xfId="1" applyNumberFormat="1" applyFont="1" applyFill="1" applyBorder="1" applyAlignment="1" applyProtection="1">
      <alignment horizontal="center" vertical="center"/>
      <protection hidden="1"/>
    </xf>
    <xf numFmtId="4" fontId="37" fillId="6" borderId="16" xfId="1" applyNumberFormat="1" applyFont="1" applyFill="1" applyBorder="1" applyAlignment="1" applyProtection="1">
      <alignment horizontal="center" vertical="center"/>
      <protection hidden="1"/>
    </xf>
    <xf numFmtId="5" fontId="78" fillId="5" borderId="0" xfId="0" applyNumberFormat="1" applyFont="1" applyFill="1" applyBorder="1" applyAlignment="1" applyProtection="1">
      <alignment horizontal="centerContinuous"/>
      <protection hidden="1"/>
    </xf>
    <xf numFmtId="0" fontId="33" fillId="0" borderId="39" xfId="0" applyFont="1" applyFill="1" applyBorder="1" applyAlignment="1" applyProtection="1">
      <alignment wrapText="1"/>
      <protection hidden="1"/>
    </xf>
    <xf numFmtId="0" fontId="33" fillId="0" borderId="0" xfId="0" applyFont="1" applyFill="1" applyBorder="1" applyAlignment="1" applyProtection="1">
      <alignment wrapText="1"/>
      <protection hidden="1"/>
    </xf>
    <xf numFmtId="0" fontId="59" fillId="5" borderId="53" xfId="0" applyFont="1" applyFill="1" applyBorder="1" applyAlignment="1" applyProtection="1">
      <alignment wrapText="1"/>
      <protection hidden="1"/>
    </xf>
    <xf numFmtId="0" fontId="59" fillId="5" borderId="54" xfId="0" applyFont="1" applyFill="1" applyBorder="1" applyAlignment="1" applyProtection="1">
      <alignment wrapText="1"/>
      <protection hidden="1"/>
    </xf>
    <xf numFmtId="168" fontId="56" fillId="0" borderId="0" xfId="3" applyNumberFormat="1" applyFont="1" applyFill="1" applyBorder="1" applyAlignment="1" applyProtection="1">
      <alignment vertical="center"/>
      <protection locked="0" hidden="1"/>
    </xf>
    <xf numFmtId="4" fontId="82" fillId="2" borderId="10" xfId="1" applyNumberFormat="1" applyFont="1" applyFill="1" applyBorder="1" applyAlignment="1" applyProtection="1">
      <alignment horizontal="center" vertical="center"/>
      <protection hidden="1"/>
    </xf>
    <xf numFmtId="5" fontId="83" fillId="2" borderId="9" xfId="0" applyNumberFormat="1" applyFont="1" applyFill="1" applyBorder="1" applyAlignment="1" applyProtection="1">
      <alignment horizontal="center" vertical="center" wrapText="1"/>
      <protection hidden="1"/>
    </xf>
    <xf numFmtId="3" fontId="80" fillId="2" borderId="12" xfId="3" applyNumberFormat="1" applyFont="1" applyFill="1" applyBorder="1" applyAlignment="1" applyProtection="1">
      <alignment horizontal="center" vertical="center"/>
      <protection locked="0" hidden="1"/>
    </xf>
    <xf numFmtId="3" fontId="80" fillId="2" borderId="23" xfId="3" applyNumberFormat="1" applyFont="1" applyFill="1" applyBorder="1" applyAlignment="1" applyProtection="1">
      <alignment horizontal="center" vertical="center"/>
      <protection hidden="1"/>
    </xf>
    <xf numFmtId="4" fontId="57" fillId="2" borderId="12" xfId="3" applyNumberFormat="1" applyFont="1" applyFill="1" applyBorder="1" applyAlignment="1" applyProtection="1">
      <alignment horizontal="center" vertical="center"/>
      <protection hidden="1"/>
    </xf>
    <xf numFmtId="0" fontId="87" fillId="0" borderId="0" xfId="0" applyFont="1" applyFill="1" applyProtection="1">
      <protection hidden="1"/>
    </xf>
    <xf numFmtId="0" fontId="88" fillId="0" borderId="0" xfId="0" applyFont="1" applyFill="1" applyProtection="1">
      <protection hidden="1"/>
    </xf>
    <xf numFmtId="169" fontId="69" fillId="2" borderId="71" xfId="0" applyNumberFormat="1" applyFont="1" applyFill="1" applyBorder="1" applyAlignment="1" applyProtection="1">
      <alignment horizontal="center"/>
      <protection hidden="1"/>
    </xf>
    <xf numFmtId="169" fontId="69" fillId="6" borderId="71" xfId="0" applyNumberFormat="1" applyFont="1" applyFill="1" applyBorder="1" applyAlignment="1" applyProtection="1">
      <alignment horizontal="center"/>
      <protection hidden="1"/>
    </xf>
    <xf numFmtId="4" fontId="37" fillId="6" borderId="21" xfId="3" applyNumberFormat="1" applyFont="1" applyFill="1" applyBorder="1" applyAlignment="1" applyProtection="1">
      <alignment horizontal="center" vertical="center"/>
      <protection hidden="1"/>
    </xf>
    <xf numFmtId="2" fontId="37" fillId="2" borderId="16" xfId="1" applyNumberFormat="1" applyFont="1" applyFill="1" applyBorder="1" applyAlignment="1" applyProtection="1">
      <alignment horizontal="center" vertical="center"/>
      <protection hidden="1"/>
    </xf>
    <xf numFmtId="7" fontId="77" fillId="5" borderId="57" xfId="0" applyNumberFormat="1" applyFont="1" applyFill="1" applyBorder="1" applyAlignment="1" applyProtection="1">
      <alignment horizontal="centerContinuous"/>
      <protection hidden="1"/>
    </xf>
    <xf numFmtId="168" fontId="76" fillId="0" borderId="0" xfId="3" applyNumberFormat="1" applyFont="1" applyFill="1" applyBorder="1" applyAlignment="1" applyProtection="1">
      <alignment horizontal="center" vertical="center"/>
      <protection hidden="1"/>
    </xf>
    <xf numFmtId="170" fontId="50" fillId="2" borderId="24" xfId="1" applyNumberFormat="1" applyFont="1" applyFill="1" applyBorder="1" applyAlignment="1" applyProtection="1">
      <alignment horizontal="center" vertical="center"/>
      <protection hidden="1"/>
    </xf>
    <xf numFmtId="1" fontId="89" fillId="0" borderId="0" xfId="0" applyNumberFormat="1" applyFont="1"/>
    <xf numFmtId="0" fontId="28" fillId="0" borderId="0" xfId="0" applyFont="1" applyFill="1" applyAlignment="1" applyProtection="1">
      <alignment horizontal="center"/>
      <protection hidden="1"/>
    </xf>
    <xf numFmtId="9" fontId="27" fillId="0" borderId="0" xfId="2" applyFont="1" applyFill="1" applyAlignment="1" applyProtection="1">
      <alignment horizontal="center"/>
      <protection hidden="1"/>
    </xf>
    <xf numFmtId="4" fontId="37" fillId="2" borderId="15" xfId="3" applyNumberFormat="1" applyFont="1" applyFill="1" applyBorder="1" applyAlignment="1" applyProtection="1">
      <alignment horizontal="center" vertical="center"/>
      <protection hidden="1"/>
    </xf>
    <xf numFmtId="4" fontId="61" fillId="2" borderId="17" xfId="3" applyNumberFormat="1" applyFont="1" applyFill="1" applyBorder="1" applyAlignment="1" applyProtection="1">
      <alignment horizontal="center" vertical="center"/>
      <protection hidden="1"/>
    </xf>
    <xf numFmtId="4" fontId="50" fillId="2" borderId="25" xfId="3" applyNumberFormat="1" applyFont="1" applyFill="1" applyBorder="1" applyAlignment="1" applyProtection="1">
      <alignment horizontal="center" vertical="center"/>
      <protection hidden="1"/>
    </xf>
    <xf numFmtId="4" fontId="61" fillId="2" borderId="27" xfId="3" applyNumberFormat="1" applyFont="1" applyFill="1" applyBorder="1" applyAlignment="1" applyProtection="1">
      <alignment horizontal="center" vertical="center"/>
      <protection hidden="1"/>
    </xf>
    <xf numFmtId="171" fontId="37" fillId="2" borderId="14" xfId="1" applyNumberFormat="1" applyFont="1" applyFill="1" applyBorder="1" applyAlignment="1" applyProtection="1">
      <alignment horizontal="center" vertical="center"/>
      <protection hidden="1"/>
    </xf>
    <xf numFmtId="166" fontId="38" fillId="0" borderId="0" xfId="1" applyNumberFormat="1" applyFont="1" applyFill="1" applyBorder="1" applyAlignment="1" applyProtection="1">
      <alignment horizontal="center"/>
      <protection hidden="1"/>
    </xf>
    <xf numFmtId="0" fontId="28" fillId="0" borderId="65" xfId="0" applyFont="1" applyFill="1" applyBorder="1" applyAlignment="1" applyProtection="1">
      <alignment horizontal="center"/>
      <protection hidden="1"/>
    </xf>
    <xf numFmtId="7" fontId="67" fillId="5" borderId="0" xfId="0" applyNumberFormat="1" applyFont="1" applyFill="1" applyBorder="1" applyAlignment="1" applyProtection="1">
      <alignment horizontal="centerContinuous"/>
      <protection hidden="1"/>
    </xf>
    <xf numFmtId="1" fontId="37" fillId="2" borderId="4" xfId="1" applyNumberFormat="1" applyFont="1" applyFill="1" applyBorder="1" applyAlignment="1" applyProtection="1">
      <alignment horizontal="center" vertical="center"/>
      <protection hidden="1"/>
    </xf>
    <xf numFmtId="167" fontId="0" fillId="0" borderId="0" xfId="0" applyNumberFormat="1"/>
    <xf numFmtId="169" fontId="0" fillId="0" borderId="0" xfId="2" applyNumberFormat="1" applyFont="1"/>
    <xf numFmtId="0" fontId="28" fillId="0" borderId="0" xfId="0" applyFont="1" applyFill="1" applyAlignment="1" applyProtection="1">
      <alignment vertical="center"/>
      <protection hidden="1"/>
    </xf>
    <xf numFmtId="0" fontId="27" fillId="0" borderId="0" xfId="0" applyFont="1" applyFill="1" applyAlignment="1" applyProtection="1">
      <alignment vertical="center"/>
      <protection hidden="1"/>
    </xf>
    <xf numFmtId="0" fontId="70" fillId="0" borderId="0" xfId="0" applyFont="1" applyFill="1" applyAlignment="1" applyProtection="1">
      <alignment horizontal="right" vertical="center"/>
      <protection hidden="1"/>
    </xf>
    <xf numFmtId="5" fontId="28" fillId="0" borderId="0" xfId="0" applyNumberFormat="1" applyFont="1" applyFill="1" applyAlignment="1" applyProtection="1">
      <alignment vertical="center"/>
      <protection hidden="1"/>
    </xf>
    <xf numFmtId="10" fontId="53" fillId="0" borderId="0" xfId="2" applyNumberFormat="1" applyFont="1" applyFill="1" applyBorder="1" applyAlignment="1" applyProtection="1">
      <alignment horizontal="center" vertical="center"/>
      <protection hidden="1"/>
    </xf>
    <xf numFmtId="10" fontId="53" fillId="0" borderId="0" xfId="2" applyNumberFormat="1" applyFont="1" applyFill="1" applyBorder="1" applyAlignment="1" applyProtection="1">
      <alignment vertical="center"/>
      <protection hidden="1"/>
    </xf>
    <xf numFmtId="0" fontId="52" fillId="0" borderId="0" xfId="0" applyFont="1" applyFill="1" applyAlignment="1" applyProtection="1">
      <alignment horizontal="right" vertical="center"/>
      <protection hidden="1"/>
    </xf>
    <xf numFmtId="0" fontId="28" fillId="0" borderId="0" xfId="0" applyFont="1" applyFill="1" applyBorder="1" applyProtection="1">
      <protection hidden="1"/>
    </xf>
    <xf numFmtId="0" fontId="32" fillId="0" borderId="81" xfId="0" applyFont="1" applyFill="1" applyBorder="1" applyAlignment="1" applyProtection="1">
      <alignment horizontal="right" vertical="center" indent="2"/>
      <protection hidden="1"/>
    </xf>
    <xf numFmtId="0" fontId="35" fillId="0" borderId="81" xfId="0" applyFont="1" applyFill="1" applyBorder="1" applyAlignment="1" applyProtection="1">
      <alignment horizontal="right" vertical="center" indent="2"/>
      <protection hidden="1"/>
    </xf>
    <xf numFmtId="0" fontId="91" fillId="0" borderId="0" xfId="0" applyFont="1" applyFill="1" applyAlignment="1" applyProtection="1">
      <alignment horizontal="center"/>
      <protection hidden="1"/>
    </xf>
    <xf numFmtId="0" fontId="93" fillId="0" borderId="0" xfId="0" applyFont="1" applyFill="1" applyAlignment="1" applyProtection="1">
      <alignment horizontal="center" vertical="center"/>
      <protection hidden="1"/>
    </xf>
    <xf numFmtId="0" fontId="93" fillId="0" borderId="0" xfId="0" applyFont="1" applyFill="1" applyAlignment="1" applyProtection="1">
      <alignment horizontal="center" vertical="center" wrapText="1"/>
      <protection hidden="1"/>
    </xf>
    <xf numFmtId="3" fontId="94" fillId="2" borderId="12" xfId="3" applyNumberFormat="1" applyFont="1" applyFill="1" applyBorder="1" applyAlignment="1" applyProtection="1">
      <alignment horizontal="center" vertical="center"/>
      <protection hidden="1"/>
    </xf>
    <xf numFmtId="3" fontId="94" fillId="2" borderId="23" xfId="3" applyNumberFormat="1" applyFont="1" applyFill="1" applyBorder="1" applyAlignment="1" applyProtection="1">
      <alignment horizontal="center" vertical="center"/>
      <protection hidden="1"/>
    </xf>
    <xf numFmtId="4" fontId="81" fillId="9" borderId="50" xfId="3" applyNumberFormat="1" applyFont="1" applyFill="1" applyBorder="1" applyAlignment="1" applyProtection="1">
      <alignment horizontal="center" vertical="center"/>
      <protection locked="0" hidden="1"/>
    </xf>
    <xf numFmtId="4" fontId="81" fillId="9" borderId="51" xfId="3" applyNumberFormat="1" applyFont="1" applyFill="1" applyBorder="1" applyAlignment="1" applyProtection="1">
      <alignment horizontal="center" vertical="center"/>
      <protection locked="0" hidden="1"/>
    </xf>
    <xf numFmtId="0" fontId="98" fillId="0" borderId="0" xfId="0" applyFont="1"/>
    <xf numFmtId="4" fontId="38" fillId="0" borderId="0" xfId="0" applyNumberFormat="1" applyFont="1" applyFill="1" applyAlignment="1" applyProtection="1">
      <alignment horizontal="center"/>
      <protection hidden="1"/>
    </xf>
    <xf numFmtId="44" fontId="38" fillId="0" borderId="0" xfId="3" applyFont="1" applyFill="1" applyAlignment="1" applyProtection="1">
      <alignment horizontal="center"/>
      <protection hidden="1"/>
    </xf>
    <xf numFmtId="44" fontId="98" fillId="0" borderId="0" xfId="3" applyFont="1"/>
    <xf numFmtId="9" fontId="38" fillId="0" borderId="0" xfId="2" applyFont="1" applyFill="1" applyAlignment="1" applyProtection="1">
      <alignment horizontal="center"/>
      <protection hidden="1"/>
    </xf>
    <xf numFmtId="169" fontId="38" fillId="0" borderId="0" xfId="2" applyNumberFormat="1" applyFont="1" applyFill="1" applyAlignment="1" applyProtection="1">
      <alignment horizontal="center"/>
      <protection hidden="1"/>
    </xf>
    <xf numFmtId="9" fontId="92" fillId="0" borderId="0" xfId="0" applyNumberFormat="1" applyFont="1" applyFill="1" applyAlignment="1" applyProtection="1">
      <alignment horizontal="center" vertical="center" wrapText="1"/>
      <protection locked="0" hidden="1"/>
    </xf>
    <xf numFmtId="168" fontId="80" fillId="9" borderId="77" xfId="3" applyNumberFormat="1" applyFont="1" applyFill="1" applyBorder="1" applyAlignment="1" applyProtection="1">
      <alignment horizontal="center" vertical="center"/>
      <protection locked="0" hidden="1"/>
    </xf>
    <xf numFmtId="0" fontId="73" fillId="0" borderId="82" xfId="0" applyFont="1" applyFill="1" applyBorder="1" applyAlignment="1" applyProtection="1">
      <alignment horizontal="right" vertical="center" wrapText="1"/>
      <protection hidden="1"/>
    </xf>
    <xf numFmtId="0" fontId="73" fillId="0" borderId="0" xfId="0" applyFont="1" applyFill="1" applyBorder="1" applyAlignment="1" applyProtection="1">
      <alignment horizontal="right" vertical="center" wrapText="1"/>
      <protection hidden="1"/>
    </xf>
    <xf numFmtId="0" fontId="84" fillId="0" borderId="0" xfId="0" applyFont="1" applyFill="1" applyBorder="1" applyAlignment="1" applyProtection="1">
      <alignment horizontal="left" wrapText="1" indent="1"/>
      <protection hidden="1"/>
    </xf>
    <xf numFmtId="44" fontId="77" fillId="5" borderId="0" xfId="3" applyFont="1" applyFill="1" applyBorder="1" applyAlignment="1" applyProtection="1">
      <alignment horizontal="center"/>
      <protection hidden="1"/>
    </xf>
    <xf numFmtId="0" fontId="71" fillId="5" borderId="56" xfId="0" applyFont="1" applyFill="1" applyBorder="1" applyAlignment="1" applyProtection="1">
      <alignment horizontal="right" wrapText="1"/>
      <protection hidden="1"/>
    </xf>
    <xf numFmtId="0" fontId="71" fillId="5" borderId="0" xfId="0" applyFont="1" applyFill="1" applyBorder="1" applyAlignment="1" applyProtection="1">
      <alignment horizontal="right" wrapText="1"/>
      <protection hidden="1"/>
    </xf>
    <xf numFmtId="44" fontId="77" fillId="5" borderId="0" xfId="3" applyFont="1" applyFill="1" applyBorder="1" applyAlignment="1" applyProtection="1">
      <alignment horizontal="left"/>
      <protection hidden="1"/>
    </xf>
    <xf numFmtId="0" fontId="86" fillId="7" borderId="0" xfId="0" applyFont="1" applyFill="1" applyBorder="1" applyAlignment="1" applyProtection="1">
      <alignment horizontal="center" vertical="center"/>
      <protection hidden="1"/>
    </xf>
    <xf numFmtId="0" fontId="73" fillId="5" borderId="56" xfId="0" applyFont="1" applyFill="1" applyBorder="1" applyAlignment="1" applyProtection="1">
      <alignment horizontal="right" wrapText="1"/>
      <protection hidden="1"/>
    </xf>
    <xf numFmtId="0" fontId="73" fillId="5" borderId="0" xfId="0" applyFont="1" applyFill="1" applyBorder="1" applyAlignment="1" applyProtection="1">
      <alignment horizontal="right" wrapText="1"/>
      <protection hidden="1"/>
    </xf>
    <xf numFmtId="0" fontId="85" fillId="5" borderId="56" xfId="0" applyFont="1" applyFill="1" applyBorder="1" applyAlignment="1" applyProtection="1">
      <alignment horizontal="right" wrapText="1"/>
      <protection hidden="1"/>
    </xf>
    <xf numFmtId="0" fontId="85" fillId="5" borderId="0" xfId="0" applyFont="1" applyFill="1" applyBorder="1" applyAlignment="1" applyProtection="1">
      <alignment horizontal="right" wrapText="1"/>
      <protection hidden="1"/>
    </xf>
    <xf numFmtId="0" fontId="34" fillId="5" borderId="58" xfId="0" applyFont="1" applyFill="1" applyBorder="1" applyAlignment="1" applyProtection="1">
      <alignment horizontal="center"/>
      <protection hidden="1"/>
    </xf>
    <xf numFmtId="0" fontId="34" fillId="5" borderId="59" xfId="0" applyFont="1" applyFill="1" applyBorder="1" applyAlignment="1" applyProtection="1">
      <alignment horizontal="center"/>
      <protection hidden="1"/>
    </xf>
    <xf numFmtId="0" fontId="35" fillId="0" borderId="0" xfId="0" applyFont="1" applyFill="1" applyBorder="1" applyAlignment="1" applyProtection="1">
      <alignment horizontal="right" vertical="center" indent="2"/>
      <protection hidden="1"/>
    </xf>
    <xf numFmtId="0" fontId="35" fillId="0" borderId="81" xfId="0" applyFont="1" applyFill="1" applyBorder="1" applyAlignment="1" applyProtection="1">
      <alignment horizontal="right" vertical="center" indent="2"/>
      <protection hidden="1"/>
    </xf>
    <xf numFmtId="0" fontId="97" fillId="0" borderId="0" xfId="0" applyFont="1" applyFill="1" applyBorder="1" applyAlignment="1" applyProtection="1">
      <alignment horizontal="right" vertical="center" indent="2"/>
      <protection hidden="1"/>
    </xf>
    <xf numFmtId="0" fontId="97" fillId="0" borderId="81" xfId="0" applyFont="1" applyFill="1" applyBorder="1" applyAlignment="1" applyProtection="1">
      <alignment horizontal="right" vertical="center" indent="2"/>
      <protection hidden="1"/>
    </xf>
    <xf numFmtId="10" fontId="76" fillId="9" borderId="78" xfId="3" applyNumberFormat="1" applyFont="1" applyFill="1" applyBorder="1" applyAlignment="1" applyProtection="1">
      <alignment horizontal="center" vertical="center"/>
      <protection locked="0" hidden="1"/>
    </xf>
    <xf numFmtId="10" fontId="76" fillId="9" borderId="79" xfId="3" applyNumberFormat="1" applyFont="1" applyFill="1" applyBorder="1" applyAlignment="1" applyProtection="1">
      <alignment horizontal="center" vertical="center"/>
      <protection locked="0" hidden="1"/>
    </xf>
    <xf numFmtId="10" fontId="76" fillId="9" borderId="80" xfId="3" applyNumberFormat="1" applyFont="1" applyFill="1" applyBorder="1" applyAlignment="1" applyProtection="1">
      <alignment horizontal="center" vertical="center"/>
      <protection locked="0" hidden="1"/>
    </xf>
    <xf numFmtId="5" fontId="41" fillId="2" borderId="34" xfId="0" applyNumberFormat="1" applyFont="1" applyFill="1" applyBorder="1" applyAlignment="1" applyProtection="1">
      <alignment horizontal="center" vertical="center" wrapText="1"/>
      <protection hidden="1"/>
    </xf>
    <xf numFmtId="5" fontId="41" fillId="2" borderId="18" xfId="0" applyNumberFormat="1" applyFont="1" applyFill="1" applyBorder="1" applyAlignment="1" applyProtection="1">
      <alignment horizontal="center" vertical="center" wrapText="1"/>
      <protection hidden="1"/>
    </xf>
    <xf numFmtId="5" fontId="41" fillId="2" borderId="9" xfId="0" applyNumberFormat="1" applyFont="1" applyFill="1" applyBorder="1" applyAlignment="1" applyProtection="1">
      <alignment horizontal="center" vertical="center" wrapText="1"/>
      <protection hidden="1"/>
    </xf>
    <xf numFmtId="5" fontId="41" fillId="2" borderId="47" xfId="0" applyNumberFormat="1" applyFont="1" applyFill="1" applyBorder="1" applyAlignment="1" applyProtection="1">
      <alignment horizontal="center" vertical="center" wrapText="1"/>
      <protection hidden="1"/>
    </xf>
    <xf numFmtId="5" fontId="41" fillId="2" borderId="20" xfId="0" applyNumberFormat="1" applyFont="1" applyFill="1" applyBorder="1" applyAlignment="1" applyProtection="1">
      <alignment horizontal="center" vertical="center" wrapText="1"/>
      <protection hidden="1"/>
    </xf>
    <xf numFmtId="5" fontId="41" fillId="2" borderId="66" xfId="0" applyNumberFormat="1" applyFont="1" applyFill="1" applyBorder="1" applyAlignment="1" applyProtection="1">
      <alignment horizontal="center" vertical="center" wrapText="1"/>
      <protection hidden="1"/>
    </xf>
    <xf numFmtId="5" fontId="41" fillId="2" borderId="40" xfId="0" applyNumberFormat="1" applyFont="1" applyFill="1" applyBorder="1" applyAlignment="1" applyProtection="1">
      <alignment horizontal="center" vertical="center" wrapText="1"/>
      <protection hidden="1"/>
    </xf>
    <xf numFmtId="5" fontId="41" fillId="2" borderId="2" xfId="0" applyNumberFormat="1" applyFont="1" applyFill="1" applyBorder="1" applyAlignment="1" applyProtection="1">
      <alignment horizontal="center" vertical="center" wrapText="1"/>
      <protection hidden="1"/>
    </xf>
    <xf numFmtId="5" fontId="41" fillId="6" borderId="35" xfId="0" applyNumberFormat="1" applyFont="1" applyFill="1" applyBorder="1" applyAlignment="1" applyProtection="1">
      <alignment horizontal="center" vertical="center" wrapText="1"/>
      <protection hidden="1"/>
    </xf>
    <xf numFmtId="5" fontId="41" fillId="6" borderId="36" xfId="0" applyNumberFormat="1" applyFont="1" applyFill="1" applyBorder="1" applyAlignment="1" applyProtection="1">
      <alignment horizontal="center" vertical="center" wrapText="1"/>
      <protection hidden="1"/>
    </xf>
    <xf numFmtId="5" fontId="41" fillId="6" borderId="37" xfId="0" applyNumberFormat="1" applyFont="1" applyFill="1" applyBorder="1" applyAlignment="1" applyProtection="1">
      <alignment horizontal="center" vertical="center" wrapText="1"/>
      <protection hidden="1"/>
    </xf>
    <xf numFmtId="5" fontId="41" fillId="2" borderId="35" xfId="0" applyNumberFormat="1" applyFont="1" applyFill="1" applyBorder="1" applyAlignment="1" applyProtection="1">
      <alignment horizontal="center" vertical="center" wrapText="1"/>
      <protection hidden="1"/>
    </xf>
    <xf numFmtId="5" fontId="41" fillId="2" borderId="36" xfId="0" applyNumberFormat="1" applyFont="1" applyFill="1" applyBorder="1" applyAlignment="1" applyProtection="1">
      <alignment horizontal="center" vertical="center" wrapText="1"/>
      <protection hidden="1"/>
    </xf>
    <xf numFmtId="5" fontId="41" fillId="2" borderId="37" xfId="0" applyNumberFormat="1" applyFont="1" applyFill="1" applyBorder="1" applyAlignment="1" applyProtection="1">
      <alignment horizontal="center" vertical="center" wrapText="1"/>
      <protection hidden="1"/>
    </xf>
    <xf numFmtId="0" fontId="68" fillId="6" borderId="38" xfId="0" applyFont="1" applyFill="1" applyBorder="1" applyAlignment="1" applyProtection="1">
      <alignment horizontal="center" vertical="center"/>
      <protection hidden="1"/>
    </xf>
    <xf numFmtId="0" fontId="68" fillId="6" borderId="22" xfId="0" applyFont="1" applyFill="1" applyBorder="1" applyAlignment="1" applyProtection="1">
      <alignment horizontal="center" vertical="center"/>
      <protection hidden="1"/>
    </xf>
    <xf numFmtId="0" fontId="68" fillId="6" borderId="28" xfId="0" applyFont="1" applyFill="1" applyBorder="1" applyAlignment="1" applyProtection="1">
      <alignment horizontal="center" vertical="center"/>
      <protection hidden="1"/>
    </xf>
    <xf numFmtId="5" fontId="41" fillId="2" borderId="72" xfId="0" applyNumberFormat="1" applyFont="1" applyFill="1" applyBorder="1" applyAlignment="1" applyProtection="1">
      <alignment horizontal="center" vertical="center" wrapText="1"/>
      <protection hidden="1"/>
    </xf>
    <xf numFmtId="5" fontId="41" fillId="2" borderId="70" xfId="0" applyNumberFormat="1" applyFont="1" applyFill="1" applyBorder="1" applyAlignment="1" applyProtection="1">
      <alignment horizontal="center" vertical="center" wrapText="1"/>
      <protection hidden="1"/>
    </xf>
    <xf numFmtId="5" fontId="38" fillId="6" borderId="8" xfId="0" applyNumberFormat="1" applyFont="1" applyFill="1" applyBorder="1" applyAlignment="1" applyProtection="1">
      <alignment horizontal="center" vertical="center" wrapText="1"/>
      <protection hidden="1"/>
    </xf>
    <xf numFmtId="5" fontId="38" fillId="6" borderId="21" xfId="0" applyNumberFormat="1" applyFont="1" applyFill="1" applyBorder="1" applyAlignment="1" applyProtection="1">
      <alignment horizontal="center" vertical="center" wrapText="1"/>
      <protection hidden="1"/>
    </xf>
    <xf numFmtId="5" fontId="41" fillId="2" borderId="5" xfId="0" applyNumberFormat="1" applyFont="1" applyFill="1" applyBorder="1" applyAlignment="1" applyProtection="1">
      <alignment horizontal="center" vertical="center" wrapText="1"/>
      <protection hidden="1"/>
    </xf>
    <xf numFmtId="5" fontId="41" fillId="2" borderId="19" xfId="0" applyNumberFormat="1" applyFont="1" applyFill="1" applyBorder="1" applyAlignment="1" applyProtection="1">
      <alignment horizontal="center" vertical="center" wrapText="1"/>
      <protection hidden="1"/>
    </xf>
    <xf numFmtId="5" fontId="41" fillId="2" borderId="10" xfId="0" applyNumberFormat="1" applyFont="1" applyFill="1" applyBorder="1" applyAlignment="1" applyProtection="1">
      <alignment horizontal="center" vertical="center" wrapText="1"/>
      <protection hidden="1"/>
    </xf>
    <xf numFmtId="0" fontId="68" fillId="2" borderId="38" xfId="0" applyFont="1" applyFill="1" applyBorder="1" applyAlignment="1" applyProtection="1">
      <alignment horizontal="center" vertical="center"/>
      <protection hidden="1"/>
    </xf>
    <xf numFmtId="0" fontId="68" fillId="2" borderId="22" xfId="0" applyFont="1" applyFill="1" applyBorder="1" applyAlignment="1" applyProtection="1">
      <alignment horizontal="center" vertical="center"/>
      <protection hidden="1"/>
    </xf>
    <xf numFmtId="0" fontId="68" fillId="2" borderId="28" xfId="0" applyFont="1" applyFill="1" applyBorder="1" applyAlignment="1" applyProtection="1">
      <alignment horizontal="center" vertical="center"/>
      <protection hidden="1"/>
    </xf>
    <xf numFmtId="5" fontId="41" fillId="6" borderId="72" xfId="0" applyNumberFormat="1" applyFont="1" applyFill="1" applyBorder="1" applyAlignment="1" applyProtection="1">
      <alignment horizontal="center" vertical="center" wrapText="1"/>
      <protection hidden="1"/>
    </xf>
    <xf numFmtId="5" fontId="41" fillId="6" borderId="70" xfId="0" applyNumberFormat="1" applyFont="1" applyFill="1" applyBorder="1" applyAlignment="1" applyProtection="1">
      <alignment horizontal="center" vertical="center" wrapText="1"/>
      <protection hidden="1"/>
    </xf>
    <xf numFmtId="5" fontId="38" fillId="2" borderId="8" xfId="0" applyNumberFormat="1" applyFont="1" applyFill="1" applyBorder="1" applyAlignment="1" applyProtection="1">
      <alignment horizontal="center" vertical="center" wrapText="1"/>
      <protection hidden="1"/>
    </xf>
    <xf numFmtId="5" fontId="38" fillId="2" borderId="32" xfId="0" applyNumberFormat="1" applyFont="1" applyFill="1" applyBorder="1" applyAlignment="1" applyProtection="1">
      <alignment horizontal="center" vertical="center" wrapText="1"/>
      <protection hidden="1"/>
    </xf>
    <xf numFmtId="10" fontId="57" fillId="0" borderId="75" xfId="2" applyNumberFormat="1" applyFont="1" applyFill="1" applyBorder="1" applyAlignment="1" applyProtection="1">
      <alignment horizontal="center" vertical="center"/>
      <protection hidden="1"/>
    </xf>
    <xf numFmtId="10" fontId="57" fillId="0" borderId="76" xfId="2" applyNumberFormat="1" applyFont="1" applyFill="1" applyBorder="1" applyAlignment="1" applyProtection="1">
      <alignment horizontal="center" vertical="center"/>
      <protection hidden="1"/>
    </xf>
    <xf numFmtId="166" fontId="52" fillId="0" borderId="0" xfId="1" applyNumberFormat="1" applyFont="1" applyFill="1" applyBorder="1" applyAlignment="1" applyProtection="1">
      <alignment horizontal="center" vertical="center"/>
      <protection hidden="1"/>
    </xf>
    <xf numFmtId="5" fontId="90" fillId="6" borderId="5" xfId="0" applyNumberFormat="1" applyFont="1" applyFill="1" applyBorder="1" applyAlignment="1" applyProtection="1">
      <alignment horizontal="center" vertical="center" wrapText="1"/>
      <protection hidden="1"/>
    </xf>
    <xf numFmtId="5" fontId="90" fillId="6" borderId="19" xfId="0" applyNumberFormat="1" applyFont="1" applyFill="1" applyBorder="1" applyAlignment="1" applyProtection="1">
      <alignment horizontal="center" vertical="center" wrapText="1"/>
      <protection hidden="1"/>
    </xf>
    <xf numFmtId="5" fontId="41" fillId="2" borderId="8" xfId="0" applyNumberFormat="1" applyFont="1" applyFill="1" applyBorder="1" applyAlignment="1" applyProtection="1">
      <alignment horizontal="center" vertical="center" wrapText="1"/>
      <protection hidden="1"/>
    </xf>
    <xf numFmtId="5" fontId="41" fillId="2" borderId="21" xfId="0" applyNumberFormat="1" applyFont="1" applyFill="1" applyBorder="1" applyAlignment="1" applyProtection="1">
      <alignment horizontal="center" vertical="center" wrapText="1"/>
      <protection hidden="1"/>
    </xf>
    <xf numFmtId="10" fontId="57" fillId="0" borderId="73" xfId="2" applyNumberFormat="1" applyFont="1" applyFill="1" applyBorder="1" applyAlignment="1" applyProtection="1">
      <alignment horizontal="center" vertical="center"/>
      <protection hidden="1"/>
    </xf>
    <xf numFmtId="10" fontId="57" fillId="0" borderId="74" xfId="2" applyNumberFormat="1" applyFont="1" applyFill="1" applyBorder="1" applyAlignment="1" applyProtection="1">
      <alignment horizontal="center" vertical="center"/>
      <protection hidden="1"/>
    </xf>
    <xf numFmtId="5" fontId="38" fillId="6" borderId="7" xfId="0" applyNumberFormat="1" applyFont="1" applyFill="1" applyBorder="1" applyAlignment="1" applyProtection="1">
      <alignment horizontal="center" vertical="center" wrapText="1"/>
      <protection hidden="1"/>
    </xf>
    <xf numFmtId="5" fontId="38" fillId="6" borderId="20" xfId="0" applyNumberFormat="1" applyFont="1" applyFill="1" applyBorder="1" applyAlignment="1" applyProtection="1">
      <alignment horizontal="center" vertical="center" wrapText="1"/>
      <protection hidden="1"/>
    </xf>
    <xf numFmtId="44" fontId="31" fillId="0" borderId="67" xfId="3" applyFont="1" applyFill="1" applyBorder="1" applyAlignment="1" applyProtection="1">
      <alignment horizontal="center"/>
      <protection hidden="1"/>
    </xf>
    <xf numFmtId="44" fontId="31" fillId="0" borderId="68" xfId="3" applyFont="1" applyFill="1" applyBorder="1" applyAlignment="1" applyProtection="1">
      <alignment horizontal="center"/>
      <protection hidden="1"/>
    </xf>
    <xf numFmtId="44" fontId="31" fillId="0" borderId="44" xfId="3" applyFont="1" applyFill="1" applyBorder="1" applyAlignment="1" applyProtection="1">
      <alignment horizontal="center"/>
      <protection hidden="1"/>
    </xf>
    <xf numFmtId="44" fontId="31" fillId="0" borderId="69" xfId="3" applyFont="1" applyFill="1" applyBorder="1" applyAlignment="1" applyProtection="1">
      <alignment horizontal="center"/>
      <protection hidden="1"/>
    </xf>
    <xf numFmtId="0" fontId="29" fillId="2" borderId="42" xfId="0" applyFont="1" applyFill="1" applyBorder="1" applyAlignment="1" applyProtection="1">
      <alignment horizontal="right" wrapText="1" indent="2"/>
      <protection hidden="1"/>
    </xf>
    <xf numFmtId="0" fontId="29" fillId="2" borderId="0" xfId="0" applyFont="1" applyFill="1" applyBorder="1" applyAlignment="1" applyProtection="1">
      <alignment horizontal="right" wrapText="1" indent="2"/>
      <protection hidden="1"/>
    </xf>
    <xf numFmtId="0" fontId="29" fillId="2" borderId="52" xfId="0" applyFont="1" applyFill="1" applyBorder="1" applyAlignment="1" applyProtection="1">
      <alignment horizontal="right" wrapText="1" indent="2"/>
      <protection hidden="1"/>
    </xf>
    <xf numFmtId="168" fontId="79" fillId="8" borderId="83" xfId="3" applyNumberFormat="1" applyFont="1" applyFill="1" applyBorder="1" applyAlignment="1" applyProtection="1">
      <alignment horizontal="center" vertical="center"/>
      <protection locked="0" hidden="1"/>
    </xf>
    <xf numFmtId="168" fontId="79" fillId="8" borderId="84" xfId="3" applyNumberFormat="1" applyFont="1" applyFill="1" applyBorder="1" applyAlignment="1" applyProtection="1">
      <alignment horizontal="center" vertical="center"/>
      <protection locked="0" hidden="1"/>
    </xf>
    <xf numFmtId="5" fontId="12" fillId="2" borderId="5" xfId="0" applyNumberFormat="1" applyFont="1" applyFill="1" applyBorder="1" applyAlignment="1" applyProtection="1">
      <alignment horizontal="center" vertical="center" wrapText="1"/>
      <protection hidden="1"/>
    </xf>
    <xf numFmtId="5" fontId="12" fillId="2" borderId="19" xfId="0" applyNumberFormat="1" applyFont="1" applyFill="1" applyBorder="1" applyAlignment="1" applyProtection="1">
      <alignment horizontal="center" vertical="center" wrapText="1"/>
      <protection hidden="1"/>
    </xf>
    <xf numFmtId="166" fontId="10" fillId="0" borderId="0" xfId="1" applyNumberFormat="1" applyFont="1" applyFill="1" applyBorder="1" applyAlignment="1" applyProtection="1">
      <alignment horizontal="center"/>
      <protection hidden="1"/>
    </xf>
    <xf numFmtId="5" fontId="36" fillId="2" borderId="34" xfId="0" applyNumberFormat="1" applyFont="1" applyFill="1" applyBorder="1" applyAlignment="1" applyProtection="1">
      <alignment horizontal="center" vertical="center" wrapText="1"/>
      <protection hidden="1"/>
    </xf>
    <xf numFmtId="0" fontId="28" fillId="0" borderId="18" xfId="0" applyFont="1" applyBorder="1" applyProtection="1"/>
    <xf numFmtId="0" fontId="28" fillId="0" borderId="9" xfId="0" applyFont="1" applyBorder="1" applyProtection="1"/>
    <xf numFmtId="5" fontId="36" fillId="2" borderId="47" xfId="0" applyNumberFormat="1" applyFont="1" applyFill="1" applyBorder="1" applyAlignment="1" applyProtection="1">
      <alignment horizontal="center" vertical="center" wrapText="1"/>
      <protection hidden="1"/>
    </xf>
    <xf numFmtId="0" fontId="28" fillId="0" borderId="20" xfId="0" applyFont="1" applyBorder="1" applyProtection="1"/>
    <xf numFmtId="0" fontId="28" fillId="0" borderId="31" xfId="0" applyFont="1" applyBorder="1" applyProtection="1"/>
    <xf numFmtId="5" fontId="83" fillId="2" borderId="34" xfId="0" applyNumberFormat="1" applyFont="1" applyFill="1" applyBorder="1" applyAlignment="1" applyProtection="1">
      <alignment horizontal="center" vertical="center" wrapText="1"/>
      <protection hidden="1"/>
    </xf>
    <xf numFmtId="5" fontId="83" fillId="2" borderId="18" xfId="0" applyNumberFormat="1" applyFont="1" applyFill="1" applyBorder="1" applyAlignment="1" applyProtection="1">
      <alignment horizontal="center" vertical="center" wrapText="1"/>
      <protection hidden="1"/>
    </xf>
    <xf numFmtId="5" fontId="83" fillId="2" borderId="9" xfId="0" applyNumberFormat="1" applyFont="1" applyFill="1" applyBorder="1" applyAlignment="1" applyProtection="1">
      <alignment horizontal="center" vertical="center" wrapText="1"/>
      <protection hidden="1"/>
    </xf>
    <xf numFmtId="5" fontId="95" fillId="2" borderId="34" xfId="0" applyNumberFormat="1" applyFont="1" applyFill="1" applyBorder="1" applyAlignment="1" applyProtection="1">
      <alignment horizontal="center" vertical="center" wrapText="1"/>
      <protection hidden="1"/>
    </xf>
    <xf numFmtId="0" fontId="96" fillId="0" borderId="18" xfId="0" applyFont="1" applyBorder="1" applyProtection="1"/>
    <xf numFmtId="0" fontId="96" fillId="0" borderId="9" xfId="0" applyFont="1" applyBorder="1" applyProtection="1"/>
    <xf numFmtId="5" fontId="36" fillId="2" borderId="43" xfId="0" applyNumberFormat="1" applyFont="1" applyFill="1" applyBorder="1" applyAlignment="1" applyProtection="1">
      <alignment horizontal="center" vertical="center" wrapText="1"/>
      <protection hidden="1"/>
    </xf>
    <xf numFmtId="0" fontId="28" fillId="0" borderId="22" xfId="0" applyFont="1" applyBorder="1" applyProtection="1"/>
    <xf numFmtId="0" fontId="28" fillId="0" borderId="28" xfId="0" applyFont="1" applyBorder="1" applyProtection="1"/>
    <xf numFmtId="0" fontId="65" fillId="0" borderId="0" xfId="0" applyFont="1" applyAlignment="1">
      <alignment horizontal="center" vertical="center"/>
    </xf>
    <xf numFmtId="0" fontId="0" fillId="0" borderId="0" xfId="0" applyFont="1" applyAlignment="1">
      <alignment horizontal="left" vertical="center" wrapText="1" indent="1"/>
    </xf>
    <xf numFmtId="0" fontId="0" fillId="0" borderId="0" xfId="0" applyFont="1" applyAlignment="1">
      <alignment horizontal="left" indent="1"/>
    </xf>
    <xf numFmtId="0" fontId="66" fillId="0" borderId="0" xfId="0" applyFont="1" applyAlignment="1">
      <alignment horizontal="center"/>
    </xf>
  </cellXfs>
  <cellStyles count="9">
    <cellStyle name="Dziesiętny" xfId="1" builtinId="3"/>
    <cellStyle name="Dziesiętny 2" xfId="6" xr:uid="{00000000-0005-0000-0000-000001000000}"/>
    <cellStyle name="Normalny" xfId="0" builtinId="0"/>
    <cellStyle name="Normalny 2" xfId="5" xr:uid="{00000000-0005-0000-0000-000003000000}"/>
    <cellStyle name="Normalny 3" xfId="4" xr:uid="{00000000-0005-0000-0000-000004000000}"/>
    <cellStyle name="Procentowy" xfId="2" builtinId="5"/>
    <cellStyle name="Procentowy 2" xfId="7" xr:uid="{00000000-0005-0000-0000-000006000000}"/>
    <cellStyle name="Walutowy" xfId="3" builtinId="4"/>
    <cellStyle name="Walutowy 2" xfId="8" xr:uid="{00000000-0005-0000-0000-000008000000}"/>
  </cellStyles>
  <dxfs count="31">
    <dxf>
      <fill>
        <patternFill>
          <bgColor indexed="26"/>
        </patternFill>
      </fill>
    </dxf>
    <dxf>
      <fill>
        <patternFill>
          <bgColor indexed="26"/>
        </patternFill>
      </fill>
    </dxf>
    <dxf>
      <fill>
        <patternFill patternType="solid">
          <bgColor indexed="43"/>
        </patternFill>
      </fill>
      <border>
        <left/>
        <right/>
        <top/>
        <bottom/>
      </border>
    </dxf>
    <dxf>
      <fill>
        <patternFill>
          <bgColor indexed="51"/>
        </patternFill>
      </fill>
      <border>
        <left/>
        <right/>
        <top/>
        <bottom/>
      </border>
    </dxf>
    <dxf>
      <fill>
        <patternFill>
          <bgColor indexed="53"/>
        </patternFill>
      </fill>
      <border>
        <left/>
        <right/>
        <top/>
        <bottom/>
      </border>
    </dxf>
    <dxf>
      <fill>
        <patternFill>
          <bgColor indexed="53"/>
        </patternFill>
      </fill>
    </dxf>
    <dxf>
      <fill>
        <patternFill>
          <bgColor indexed="51"/>
        </patternFill>
      </fill>
    </dxf>
    <dxf>
      <fill>
        <patternFill>
          <bgColor indexed="43"/>
        </patternFill>
      </fill>
    </dxf>
    <dxf>
      <fill>
        <patternFill>
          <bgColor indexed="53"/>
        </patternFill>
      </fill>
      <border>
        <left/>
        <right/>
        <top/>
        <bottom/>
      </border>
    </dxf>
    <dxf>
      <fill>
        <patternFill>
          <bgColor indexed="47"/>
        </patternFill>
      </fill>
    </dxf>
    <dxf>
      <fill>
        <patternFill>
          <bgColor indexed="43"/>
        </patternFill>
      </fill>
    </dxf>
    <dxf>
      <fill>
        <patternFill>
          <bgColor indexed="26"/>
        </patternFill>
      </fill>
    </dxf>
    <dxf>
      <fill>
        <patternFill>
          <bgColor indexed="26"/>
        </patternFill>
      </fill>
    </dxf>
    <dxf>
      <fill>
        <patternFill>
          <bgColor indexed="53"/>
        </patternFill>
      </fill>
    </dxf>
    <dxf>
      <fill>
        <patternFill>
          <bgColor indexed="51"/>
        </patternFill>
      </fill>
    </dxf>
    <dxf>
      <fill>
        <patternFill>
          <bgColor indexed="43"/>
        </patternFill>
      </fill>
    </dxf>
    <dxf>
      <font>
        <b/>
        <i val="0"/>
        <color theme="7" tint="-0.499984740745262"/>
      </font>
      <numFmt numFmtId="169" formatCode="0.0%"/>
      <fill>
        <patternFill>
          <bgColor theme="8" tint="0.79998168889431442"/>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b/>
        <i val="0"/>
        <color theme="7" tint="-0.499984740745262"/>
      </font>
      <numFmt numFmtId="169" formatCode="0.0%"/>
      <fill>
        <patternFill>
          <bgColor theme="8" tint="0.79998168889431442"/>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ill>
        <patternFill>
          <bgColor indexed="47"/>
        </patternFill>
      </fill>
    </dxf>
    <dxf>
      <fill>
        <patternFill>
          <bgColor indexed="43"/>
        </patternFill>
      </fill>
    </dxf>
    <dxf>
      <fill>
        <patternFill>
          <bgColor indexed="26"/>
        </patternFill>
      </fill>
    </dxf>
    <dxf>
      <fill>
        <patternFill>
          <bgColor indexed="53"/>
        </patternFill>
      </fill>
    </dxf>
    <dxf>
      <fill>
        <patternFill>
          <bgColor indexed="51"/>
        </patternFill>
      </fill>
    </dxf>
    <dxf>
      <fill>
        <patternFill>
          <bgColor indexed="43"/>
        </patternFill>
      </fill>
    </dxf>
    <dxf>
      <fill>
        <patternFill patternType="solid">
          <bgColor indexed="43"/>
        </patternFill>
      </fill>
      <border>
        <left/>
        <right/>
        <top/>
        <bottom/>
      </border>
    </dxf>
    <dxf>
      <fill>
        <patternFill>
          <bgColor indexed="51"/>
        </patternFill>
      </fill>
      <border>
        <left/>
        <right/>
        <top/>
        <bottom/>
      </border>
    </dxf>
    <dxf>
      <fill>
        <patternFill patternType="solid">
          <bgColor indexed="43"/>
        </patternFill>
      </fill>
      <border>
        <left/>
        <right/>
        <top/>
        <bottom/>
      </border>
    </dxf>
    <dxf>
      <fill>
        <patternFill>
          <bgColor indexed="51"/>
        </patternFill>
      </fill>
      <border>
        <left/>
        <right/>
        <top/>
        <bottom/>
      </border>
    </dxf>
    <dxf>
      <fill>
        <patternFill>
          <bgColor indexed="53"/>
        </patternFill>
      </fill>
    </dxf>
    <dxf>
      <fill>
        <patternFill>
          <bgColor indexed="51"/>
        </patternFill>
      </fill>
    </dxf>
    <dxf>
      <fill>
        <patternFill>
          <bgColor indexed="43"/>
        </patternFill>
      </fill>
    </dxf>
  </dxfs>
  <tableStyles count="0" defaultTableStyle="TableStyleMedium9" defaultPivotStyle="PivotStyleLight16"/>
  <colors>
    <mruColors>
      <color rgb="FFEBFAFF"/>
      <color rgb="FFF7FDFF"/>
      <color rgb="FFFFFF99"/>
      <color rgb="FF820000"/>
      <color rgb="FF540000"/>
      <color rgb="FFFFC819"/>
      <color rgb="FFFFFFCC"/>
      <color rgb="FF760000"/>
      <color rgb="FFCCCCFF"/>
      <color rgb="FF065E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accent1">
                    <a:lumMod val="50000"/>
                  </a:schemeClr>
                </a:solidFill>
                <a:latin typeface="+mj-lt"/>
                <a:ea typeface="+mn-ea"/>
                <a:cs typeface="+mn-cs"/>
              </a:defRPr>
            </a:pPr>
            <a:r>
              <a:rPr lang="pl-PL">
                <a:solidFill>
                  <a:schemeClr val="accent1">
                    <a:lumMod val="50000"/>
                  </a:schemeClr>
                </a:solidFill>
              </a:rPr>
              <a:t>Koszty pracodawcy z tytułu wynagrodzeń</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accent1">
                  <a:lumMod val="50000"/>
                </a:schemeClr>
              </a:solidFill>
              <a:latin typeface="+mj-lt"/>
              <a:ea typeface="+mn-ea"/>
              <a:cs typeface="+mn-cs"/>
            </a:defRPr>
          </a:pPr>
          <a:endParaRPr lang="pl-PL"/>
        </a:p>
      </c:txPr>
    </c:title>
    <c:autoTitleDeleted val="0"/>
    <c:plotArea>
      <c:layout>
        <c:manualLayout>
          <c:layoutTarget val="inner"/>
          <c:xMode val="edge"/>
          <c:yMode val="edge"/>
          <c:x val="9.5510976580182108E-3"/>
          <c:y val="0.15153209809169896"/>
          <c:w val="0.98766080908626752"/>
          <c:h val="0.81752734033245844"/>
        </c:manualLayout>
      </c:layout>
      <c:ofPieChart>
        <c:ofPieType val="bar"/>
        <c:varyColors val="1"/>
        <c:ser>
          <c:idx val="0"/>
          <c:order val="0"/>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251E-41F9-9046-21190BAF0BFC}"/>
              </c:ext>
            </c:extLst>
          </c:dPt>
          <c:dPt>
            <c:idx val="1"/>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3-251E-41F9-9046-21190BAF0BFC}"/>
              </c:ext>
            </c:extLst>
          </c:dPt>
          <c:dPt>
            <c:idx val="2"/>
            <c:bubble3D val="0"/>
            <c:spPr>
              <a:solidFill>
                <a:srgbClr val="C00000"/>
              </a:solidFill>
              <a:ln w="19050">
                <a:solidFill>
                  <a:schemeClr val="lt1"/>
                </a:solidFill>
              </a:ln>
              <a:effectLst/>
            </c:spPr>
            <c:extLst>
              <c:ext xmlns:c16="http://schemas.microsoft.com/office/drawing/2014/chart" uri="{C3380CC4-5D6E-409C-BE32-E72D297353CC}">
                <c16:uniqueId val="{00000005-251E-41F9-9046-21190BAF0BFC}"/>
              </c:ext>
            </c:extLst>
          </c:dPt>
          <c:dPt>
            <c:idx val="3"/>
            <c:bubble3D val="0"/>
            <c:spPr>
              <a:solidFill>
                <a:srgbClr val="FFC819"/>
              </a:solidFill>
              <a:ln w="19050">
                <a:solidFill>
                  <a:schemeClr val="lt1"/>
                </a:solidFill>
              </a:ln>
              <a:effectLst/>
            </c:spPr>
            <c:extLst>
              <c:ext xmlns:c16="http://schemas.microsoft.com/office/drawing/2014/chart" uri="{C3380CC4-5D6E-409C-BE32-E72D297353CC}">
                <c16:uniqueId val="{00000007-251E-41F9-9046-21190BAF0BFC}"/>
              </c:ext>
            </c:extLst>
          </c:dPt>
          <c:dPt>
            <c:idx val="4"/>
            <c:bubble3D val="0"/>
            <c:spPr>
              <a:solidFill>
                <a:srgbClr val="820000"/>
              </a:solidFill>
              <a:ln w="19050">
                <a:solidFill>
                  <a:schemeClr val="lt1"/>
                </a:solidFill>
              </a:ln>
              <a:effectLst/>
            </c:spPr>
            <c:extLst>
              <c:ext xmlns:c16="http://schemas.microsoft.com/office/drawing/2014/chart" uri="{C3380CC4-5D6E-409C-BE32-E72D297353CC}">
                <c16:uniqueId val="{00000009-251E-41F9-9046-21190BAF0BFC}"/>
              </c:ext>
            </c:extLst>
          </c:dPt>
          <c:dPt>
            <c:idx val="5"/>
            <c:bubble3D val="0"/>
            <c:spPr>
              <a:solidFill>
                <a:srgbClr val="FFFF99"/>
              </a:solidFill>
              <a:ln w="19050">
                <a:solidFill>
                  <a:schemeClr val="lt1"/>
                </a:solidFill>
              </a:ln>
              <a:effectLst/>
            </c:spPr>
            <c:extLst>
              <c:ext xmlns:c16="http://schemas.microsoft.com/office/drawing/2014/chart" uri="{C3380CC4-5D6E-409C-BE32-E72D297353CC}">
                <c16:uniqueId val="{0000000B-251E-41F9-9046-21190BAF0BFC}"/>
              </c:ext>
            </c:extLst>
          </c:dPt>
          <c:dPt>
            <c:idx val="6"/>
            <c:bubble3D val="0"/>
            <c:spPr>
              <a:solidFill>
                <a:schemeClr val="accent5">
                  <a:lumMod val="75000"/>
                </a:schemeClr>
              </a:solidFill>
              <a:ln w="19050">
                <a:solidFill>
                  <a:schemeClr val="lt1"/>
                </a:solidFill>
              </a:ln>
              <a:effectLst/>
            </c:spPr>
            <c:extLst>
              <c:ext xmlns:c16="http://schemas.microsoft.com/office/drawing/2014/chart" uri="{C3380CC4-5D6E-409C-BE32-E72D297353CC}">
                <c16:uniqueId val="{0000000D-251E-41F9-9046-21190BAF0BFC}"/>
              </c:ext>
            </c:extLst>
          </c:dPt>
          <c:dPt>
            <c:idx val="7"/>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0F-251E-41F9-9046-21190BAF0BFC}"/>
              </c:ext>
            </c:extLst>
          </c:dPt>
          <c:dPt>
            <c:idx val="8"/>
            <c:bubble3D val="0"/>
            <c:spPr>
              <a:solidFill>
                <a:srgbClr val="002060"/>
              </a:solidFill>
              <a:ln w="19050">
                <a:solidFill>
                  <a:schemeClr val="lt1"/>
                </a:solidFill>
              </a:ln>
              <a:effectLst/>
            </c:spPr>
            <c:extLst>
              <c:ext xmlns:c16="http://schemas.microsoft.com/office/drawing/2014/chart" uri="{C3380CC4-5D6E-409C-BE32-E72D297353CC}">
                <c16:uniqueId val="{00000011-251E-41F9-9046-21190BAF0BFC}"/>
              </c:ext>
            </c:extLst>
          </c:dPt>
          <c:dPt>
            <c:idx val="9"/>
            <c:bubble3D val="0"/>
            <c:spPr>
              <a:solidFill>
                <a:srgbClr val="FFC000"/>
              </a:solidFill>
              <a:ln w="19050">
                <a:solidFill>
                  <a:schemeClr val="lt1"/>
                </a:solidFill>
              </a:ln>
              <a:effectLst/>
            </c:spPr>
            <c:extLst>
              <c:ext xmlns:c16="http://schemas.microsoft.com/office/drawing/2014/chart" uri="{C3380CC4-5D6E-409C-BE32-E72D297353CC}">
                <c16:uniqueId val="{00000013-251E-41F9-9046-21190BAF0BFC}"/>
              </c:ext>
            </c:extLst>
          </c:dPt>
          <c:dLbls>
            <c:dLbl>
              <c:idx val="0"/>
              <c:layout>
                <c:manualLayout>
                  <c:x val="7.055929798980981E-2"/>
                  <c:y val="-2.5190960040885977E-2"/>
                </c:manualLayout>
              </c:layout>
              <c:numFmt formatCode="0.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j-lt"/>
                      <a:ea typeface="+mn-ea"/>
                      <a:cs typeface="+mn-cs"/>
                    </a:defRPr>
                  </a:pPr>
                  <a:endParaRPr lang="pl-P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251E-41F9-9046-21190BAF0BFC}"/>
                </c:ext>
              </c:extLst>
            </c:dLbl>
            <c:dLbl>
              <c:idx val="1"/>
              <c:layout>
                <c:manualLayout>
                  <c:x val="1.5156269308861001E-3"/>
                  <c:y val="-3.0942796439029606E-2"/>
                </c:manualLayout>
              </c:layout>
              <c:numFmt formatCode="0.0%" sourceLinked="0"/>
              <c:spPr>
                <a:noFill/>
                <a:ln>
                  <a:noFill/>
                </a:ln>
                <a:effectLst/>
              </c:spPr>
              <c:txPr>
                <a:bodyPr rot="0" spcFirstLastPara="1" vertOverflow="ellipsis" vert="horz" wrap="square" anchor="ctr" anchorCtr="0"/>
                <a:lstStyle/>
                <a:p>
                  <a:pPr algn="l">
                    <a:defRPr sz="1000" b="0" i="0" u="none" strike="noStrike" kern="1200" baseline="0">
                      <a:solidFill>
                        <a:sysClr val="windowText" lastClr="000000"/>
                      </a:solidFill>
                      <a:latin typeface="+mj-lt"/>
                      <a:ea typeface="+mn-ea"/>
                      <a:cs typeface="+mn-cs"/>
                    </a:defRPr>
                  </a:pPr>
                  <a:endParaRPr lang="pl-P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7.5262617768950213E-2"/>
                      <c:h val="7.4815576890884694E-2"/>
                    </c:manualLayout>
                  </c15:layout>
                </c:ext>
                <c:ext xmlns:c16="http://schemas.microsoft.com/office/drawing/2014/chart" uri="{C3380CC4-5D6E-409C-BE32-E72D297353CC}">
                  <c16:uniqueId val="{00000003-251E-41F9-9046-21190BAF0BFC}"/>
                </c:ext>
              </c:extLst>
            </c:dLbl>
            <c:dLbl>
              <c:idx val="2"/>
              <c:numFmt formatCode="0.0%" sourceLinked="0"/>
              <c:spPr>
                <a:noFill/>
                <a:ln>
                  <a:noFill/>
                </a:ln>
                <a:effectLst/>
              </c:spPr>
              <c:txPr>
                <a:bodyPr rot="0" spcFirstLastPara="1" vertOverflow="ellipsis" vert="horz" wrap="square" anchor="ctr" anchorCtr="0"/>
                <a:lstStyle/>
                <a:p>
                  <a:pPr algn="l">
                    <a:defRPr sz="1000" b="0" i="0" u="none" strike="noStrike" kern="1200" baseline="0">
                      <a:solidFill>
                        <a:sysClr val="windowText" lastClr="000000"/>
                      </a:solidFill>
                      <a:latin typeface="+mj-lt"/>
                      <a:ea typeface="+mn-ea"/>
                      <a:cs typeface="+mn-cs"/>
                    </a:defRPr>
                  </a:pPr>
                  <a:endParaRPr lang="pl-P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51E-41F9-9046-21190BAF0BFC}"/>
                </c:ext>
              </c:extLst>
            </c:dLbl>
            <c:dLbl>
              <c:idx val="6"/>
              <c:dLblPos val="outEnd"/>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251E-41F9-9046-21190BAF0BFC}"/>
                </c:ext>
              </c:extLst>
            </c:dLbl>
            <c:dLbl>
              <c:idx val="8"/>
              <c:layout>
                <c:manualLayout>
                  <c:x val="9.5510976580168096E-4"/>
                  <c:y val="4.400440044004384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251E-41F9-9046-21190BAF0BFC}"/>
                </c:ext>
              </c:extLst>
            </c:dLbl>
            <c:dLbl>
              <c:idx val="9"/>
              <c:layout>
                <c:manualLayout>
                  <c:x val="-8.4794118569432086E-2"/>
                  <c:y val="-1.1989639908872777E-2"/>
                </c:manualLayout>
              </c:layout>
              <c:tx>
                <c:rich>
                  <a:bodyPr rot="0" spcFirstLastPara="1" vertOverflow="ellipsis" vert="horz" wrap="square" anchor="ctr" anchorCtr="1"/>
                  <a:lstStyle/>
                  <a:p>
                    <a:pPr>
                      <a:defRPr sz="1200" b="0" i="0" u="none" strike="noStrike" kern="1200" baseline="0">
                        <a:solidFill>
                          <a:sysClr val="windowText" lastClr="000000"/>
                        </a:solidFill>
                        <a:latin typeface="+mj-lt"/>
                        <a:ea typeface="+mn-ea"/>
                        <a:cs typeface="+mn-cs"/>
                      </a:defRPr>
                    </a:pPr>
                    <a:r>
                      <a:rPr lang="en-US" sz="1200"/>
                      <a:t>obciążenia</a:t>
                    </a:r>
                    <a:r>
                      <a:rPr lang="en-US" sz="1200" baseline="0"/>
                      <a:t>; </a:t>
                    </a:r>
                    <a:fld id="{10615D87-AD65-4E38-AB8F-E7557FF79471}" type="PERCENTAGE">
                      <a:rPr lang="en-US" sz="1200" baseline="0"/>
                      <a:pPr>
                        <a:defRPr sz="1200"/>
                      </a:pPr>
                      <a:t>[PROCENTOWE]</a:t>
                    </a:fld>
                    <a:endParaRPr lang="en-US" sz="1200" baseline="0"/>
                  </a:p>
                </c:rich>
              </c:tx>
              <c:numFmt formatCode="0.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j-lt"/>
                      <a:ea typeface="+mn-ea"/>
                      <a:cs typeface="+mn-cs"/>
                    </a:defRPr>
                  </a:pPr>
                  <a:endParaRPr lang="pl-PL"/>
                </a:p>
              </c:txPr>
              <c:dLblPos val="bestFit"/>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3-251E-41F9-9046-21190BAF0BFC}"/>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pl-PL"/>
              </a:p>
            </c:tx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zmienne!$M$12:$M$20</c:f>
              <c:strCache>
                <c:ptCount val="9"/>
                <c:pt idx="0">
                  <c:v>wynagrodzenie netto</c:v>
                </c:pt>
                <c:pt idx="1">
                  <c:v>PPK</c:v>
                </c:pt>
                <c:pt idx="2">
                  <c:v>zaliczka na PIT</c:v>
                </c:pt>
                <c:pt idx="3">
                  <c:v>zdrowotne</c:v>
                </c:pt>
                <c:pt idx="4">
                  <c:v>ub. chorobowe</c:v>
                </c:pt>
                <c:pt idx="5">
                  <c:v>ub. rentowe</c:v>
                </c:pt>
                <c:pt idx="6">
                  <c:v>ub. emerytalne</c:v>
                </c:pt>
                <c:pt idx="7">
                  <c:v>ub. wypadkowe</c:v>
                </c:pt>
                <c:pt idx="8">
                  <c:v>FP i FGŚP</c:v>
                </c:pt>
              </c:strCache>
            </c:strRef>
          </c:cat>
          <c:val>
            <c:numRef>
              <c:f>zmienne!$N$12:$N$20</c:f>
              <c:numCache>
                <c:formatCode>#,##0.00</c:formatCode>
                <c:ptCount val="9"/>
                <c:pt idx="0">
                  <c:v>0</c:v>
                </c:pt>
                <c:pt idx="1">
                  <c:v>0</c:v>
                </c:pt>
                <c:pt idx="2" formatCode="#\ ##0.00_ ;[Red]\-#\ ##0.00\ ">
                  <c:v>0</c:v>
                </c:pt>
                <c:pt idx="3">
                  <c:v>0</c:v>
                </c:pt>
                <c:pt idx="4">
                  <c:v>0</c:v>
                </c:pt>
                <c:pt idx="5">
                  <c:v>0</c:v>
                </c:pt>
                <c:pt idx="6">
                  <c:v>0</c:v>
                </c:pt>
                <c:pt idx="7">
                  <c:v>0</c:v>
                </c:pt>
                <c:pt idx="8">
                  <c:v>0</c:v>
                </c:pt>
              </c:numCache>
            </c:numRef>
          </c:val>
          <c:extLst>
            <c:ext xmlns:c16="http://schemas.microsoft.com/office/drawing/2014/chart" uri="{C3380CC4-5D6E-409C-BE32-E72D297353CC}">
              <c16:uniqueId val="{00000014-251E-41F9-9046-21190BAF0BFC}"/>
            </c:ext>
          </c:extLst>
        </c:ser>
        <c:dLbls>
          <c:dLblPos val="bestFit"/>
          <c:showLegendKey val="0"/>
          <c:showVal val="1"/>
          <c:showCatName val="0"/>
          <c:showSerName val="0"/>
          <c:showPercent val="0"/>
          <c:showBubbleSize val="0"/>
          <c:showLeaderLines val="1"/>
        </c:dLbls>
        <c:gapWidth val="100"/>
        <c:splitType val="pos"/>
        <c:splitPos val="8"/>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ysClr val="windowText" lastClr="000000"/>
          </a:solidFill>
          <a:latin typeface="+mj-lt"/>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100"/>
            </a:pPr>
            <a:r>
              <a:rPr lang="pl-PL" sz="1100"/>
              <a:t>Rozkład rocznych kosztów pracy</a:t>
            </a:r>
          </a:p>
          <a:p>
            <a:pPr>
              <a:defRPr sz="1100"/>
            </a:pPr>
            <a:r>
              <a:rPr lang="pl-PL" sz="1100"/>
              <a:t>pracownika (100%=brutto)</a:t>
            </a:r>
          </a:p>
        </c:rich>
      </c:tx>
      <c:overlay val="0"/>
    </c:title>
    <c:autoTitleDeleted val="0"/>
    <c:plotArea>
      <c:layout>
        <c:manualLayout>
          <c:layoutTarget val="inner"/>
          <c:xMode val="edge"/>
          <c:yMode val="edge"/>
          <c:x val="0.14539194198663324"/>
          <c:y val="0.16587547950736944"/>
          <c:w val="0.27299915859799823"/>
          <c:h val="0.76571216724828539"/>
        </c:manualLayout>
      </c:layout>
      <c:barChart>
        <c:barDir val="col"/>
        <c:grouping val="stacked"/>
        <c:varyColors val="0"/>
        <c:ser>
          <c:idx val="0"/>
          <c:order val="0"/>
          <c:tx>
            <c:strRef>
              <c:f>zmienne!$H$2</c:f>
              <c:strCache>
                <c:ptCount val="1"/>
                <c:pt idx="0">
                  <c:v>netto</c:v>
                </c:pt>
              </c:strCache>
            </c:strRef>
          </c:tx>
          <c:spPr>
            <a:solidFill>
              <a:srgbClr val="33CC33"/>
            </a:solidFill>
          </c:spPr>
          <c:invertIfNegative val="0"/>
          <c:dLbls>
            <c:spPr>
              <a:noFill/>
              <a:ln>
                <a:noFill/>
              </a:ln>
              <a:effectLst/>
            </c:spPr>
            <c:txPr>
              <a:bodyPr/>
              <a:lstStyle/>
              <a:p>
                <a:pPr>
                  <a:defRPr sz="1200"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zmienne!$J$2</c:f>
              <c:numCache>
                <c:formatCode>0.00%</c:formatCode>
                <c:ptCount val="1"/>
                <c:pt idx="0">
                  <c:v>0</c:v>
                </c:pt>
              </c:numCache>
            </c:numRef>
          </c:val>
          <c:extLst>
            <c:ext xmlns:c16="http://schemas.microsoft.com/office/drawing/2014/chart" uri="{C3380CC4-5D6E-409C-BE32-E72D297353CC}">
              <c16:uniqueId val="{00000000-CE74-4DF9-86E9-CBC279D758A9}"/>
            </c:ext>
          </c:extLst>
        </c:ser>
        <c:ser>
          <c:idx val="1"/>
          <c:order val="1"/>
          <c:tx>
            <c:strRef>
              <c:f>zmienne!$H$4</c:f>
              <c:strCache>
                <c:ptCount val="1"/>
                <c:pt idx="0">
                  <c:v>ub. zdrowotne</c:v>
                </c:pt>
              </c:strCache>
            </c:strRef>
          </c:tx>
          <c:spPr>
            <a:solidFill>
              <a:srgbClr val="C00000"/>
            </a:solidFill>
          </c:spPr>
          <c:invertIfNegative val="0"/>
          <c:dLbls>
            <c:dLbl>
              <c:idx val="0"/>
              <c:layout>
                <c:manualLayout>
                  <c:x val="0.25282874396135258"/>
                  <c:y val="0.31252337962962962"/>
                </c:manualLayout>
              </c:layout>
              <c:spPr>
                <a:solidFill>
                  <a:srgbClr val="C00000"/>
                </a:solidFill>
              </c:spPr>
              <c:txPr>
                <a:bodyPr/>
                <a:lstStyle/>
                <a:p>
                  <a:pPr>
                    <a:defRPr/>
                  </a:pPr>
                  <a:endParaRPr lang="pl-P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74-4DF9-86E9-CBC279D758A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zmienne!$J$4</c:f>
              <c:numCache>
                <c:formatCode>0.00%</c:formatCode>
                <c:ptCount val="1"/>
                <c:pt idx="0">
                  <c:v>0</c:v>
                </c:pt>
              </c:numCache>
            </c:numRef>
          </c:val>
          <c:extLst>
            <c:ext xmlns:c16="http://schemas.microsoft.com/office/drawing/2014/chart" uri="{C3380CC4-5D6E-409C-BE32-E72D297353CC}">
              <c16:uniqueId val="{00000002-CE74-4DF9-86E9-CBC279D758A9}"/>
            </c:ext>
          </c:extLst>
        </c:ser>
        <c:ser>
          <c:idx val="2"/>
          <c:order val="2"/>
          <c:tx>
            <c:strRef>
              <c:f>zmienne!$H$5</c:f>
              <c:strCache>
                <c:ptCount val="1"/>
                <c:pt idx="0">
                  <c:v>ub. chorobowe</c:v>
                </c:pt>
              </c:strCache>
            </c:strRef>
          </c:tx>
          <c:spPr>
            <a:solidFill>
              <a:srgbClr val="FF0000"/>
            </a:solidFill>
          </c:spPr>
          <c:invertIfNegative val="0"/>
          <c:dLbls>
            <c:dLbl>
              <c:idx val="0"/>
              <c:layout>
                <c:manualLayout>
                  <c:x val="0.25374830917874397"/>
                  <c:y val="0.24464467592592593"/>
                </c:manualLayout>
              </c:layout>
              <c:spPr>
                <a:solidFill>
                  <a:srgbClr val="FF0000"/>
                </a:solidFill>
              </c:spPr>
              <c:txPr>
                <a:bodyPr/>
                <a:lstStyle/>
                <a:p>
                  <a:pPr>
                    <a:defRPr/>
                  </a:pPr>
                  <a:endParaRPr lang="pl-P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74-4DF9-86E9-CBC279D758A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zmienne!$J$5</c:f>
              <c:numCache>
                <c:formatCode>0.00%</c:formatCode>
                <c:ptCount val="1"/>
                <c:pt idx="0">
                  <c:v>0</c:v>
                </c:pt>
              </c:numCache>
            </c:numRef>
          </c:val>
          <c:extLst>
            <c:ext xmlns:c16="http://schemas.microsoft.com/office/drawing/2014/chart" uri="{C3380CC4-5D6E-409C-BE32-E72D297353CC}">
              <c16:uniqueId val="{00000004-CE74-4DF9-86E9-CBC279D758A9}"/>
            </c:ext>
          </c:extLst>
        </c:ser>
        <c:ser>
          <c:idx val="3"/>
          <c:order val="3"/>
          <c:tx>
            <c:strRef>
              <c:f>zmienne!$H$6</c:f>
              <c:strCache>
                <c:ptCount val="1"/>
                <c:pt idx="0">
                  <c:v>ub. rentowe pracownik</c:v>
                </c:pt>
              </c:strCache>
            </c:strRef>
          </c:tx>
          <c:spPr>
            <a:solidFill>
              <a:srgbClr val="FF6600"/>
            </a:solidFill>
          </c:spPr>
          <c:invertIfNegative val="0"/>
          <c:dLbls>
            <c:dLbl>
              <c:idx val="0"/>
              <c:layout>
                <c:manualLayout>
                  <c:x val="0.25374830917874397"/>
                  <c:y val="0.15656898148148149"/>
                </c:manualLayout>
              </c:layout>
              <c:spPr>
                <a:solidFill>
                  <a:srgbClr val="FF6600"/>
                </a:solidFill>
              </c:spPr>
              <c:txPr>
                <a:bodyPr/>
                <a:lstStyle/>
                <a:p>
                  <a:pPr>
                    <a:defRPr/>
                  </a:pPr>
                  <a:endParaRPr lang="pl-P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74-4DF9-86E9-CBC279D758A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zmienne!$J$6</c:f>
              <c:numCache>
                <c:formatCode>0.00%</c:formatCode>
                <c:ptCount val="1"/>
                <c:pt idx="0">
                  <c:v>0</c:v>
                </c:pt>
              </c:numCache>
            </c:numRef>
          </c:val>
          <c:extLst>
            <c:ext xmlns:c16="http://schemas.microsoft.com/office/drawing/2014/chart" uri="{C3380CC4-5D6E-409C-BE32-E72D297353CC}">
              <c16:uniqueId val="{00000006-CE74-4DF9-86E9-CBC279D758A9}"/>
            </c:ext>
          </c:extLst>
        </c:ser>
        <c:ser>
          <c:idx val="4"/>
          <c:order val="4"/>
          <c:tx>
            <c:strRef>
              <c:f>zmienne!$H$7</c:f>
              <c:strCache>
                <c:ptCount val="1"/>
                <c:pt idx="0">
                  <c:v>ub. emerytalne pracownik</c:v>
                </c:pt>
              </c:strCache>
            </c:strRef>
          </c:tx>
          <c:spPr>
            <a:solidFill>
              <a:srgbClr val="FFC000"/>
            </a:solidFill>
          </c:spPr>
          <c:invertIfNegative val="0"/>
          <c:dLbls>
            <c:dLbl>
              <c:idx val="0"/>
              <c:layout>
                <c:manualLayout>
                  <c:x val="0.25303236714975846"/>
                  <c:y val="9.7818981481481423E-2"/>
                </c:manualLayout>
              </c:layout>
              <c:spPr>
                <a:solidFill>
                  <a:srgbClr val="FFC000"/>
                </a:solidFill>
              </c:spPr>
              <c:txPr>
                <a:bodyPr/>
                <a:lstStyle/>
                <a:p>
                  <a:pPr>
                    <a:defRPr/>
                  </a:pPr>
                  <a:endParaRPr lang="pl-P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74-4DF9-86E9-CBC279D758A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zmienne!$J$7</c:f>
              <c:numCache>
                <c:formatCode>0.00%</c:formatCode>
                <c:ptCount val="1"/>
                <c:pt idx="0">
                  <c:v>0</c:v>
                </c:pt>
              </c:numCache>
            </c:numRef>
          </c:val>
          <c:extLst>
            <c:ext xmlns:c16="http://schemas.microsoft.com/office/drawing/2014/chart" uri="{C3380CC4-5D6E-409C-BE32-E72D297353CC}">
              <c16:uniqueId val="{00000008-CE74-4DF9-86E9-CBC279D758A9}"/>
            </c:ext>
          </c:extLst>
        </c:ser>
        <c:ser>
          <c:idx val="5"/>
          <c:order val="5"/>
          <c:tx>
            <c:strRef>
              <c:f>zmienne!$H$8</c:f>
              <c:strCache>
                <c:ptCount val="1"/>
                <c:pt idx="0">
                  <c:v>zaliczka na PIT</c:v>
                </c:pt>
              </c:strCache>
            </c:strRef>
          </c:tx>
          <c:spPr>
            <a:solidFill>
              <a:srgbClr val="FFFF00"/>
            </a:solidFill>
          </c:spPr>
          <c:invertIfNegative val="0"/>
          <c:dLbls>
            <c:dLbl>
              <c:idx val="0"/>
              <c:layout>
                <c:manualLayout>
                  <c:x val="0.2532364734299517"/>
                  <c:y val="7.41777777777777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74-4DF9-86E9-CBC279D758A9}"/>
                </c:ext>
              </c:extLst>
            </c:dLbl>
            <c:spPr>
              <a:solidFill>
                <a:srgbClr val="FFFF00"/>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zmienne!$J$8</c:f>
              <c:numCache>
                <c:formatCode>0.00%</c:formatCode>
                <c:ptCount val="1"/>
                <c:pt idx="0">
                  <c:v>0</c:v>
                </c:pt>
              </c:numCache>
            </c:numRef>
          </c:val>
          <c:extLst>
            <c:ext xmlns:c16="http://schemas.microsoft.com/office/drawing/2014/chart" uri="{C3380CC4-5D6E-409C-BE32-E72D297353CC}">
              <c16:uniqueId val="{0000000A-CE74-4DF9-86E9-CBC279D758A9}"/>
            </c:ext>
          </c:extLst>
        </c:ser>
        <c:ser>
          <c:idx val="6"/>
          <c:order val="6"/>
          <c:tx>
            <c:strRef>
              <c:f>zmienne!$H$3</c:f>
              <c:strCache>
                <c:ptCount val="1"/>
                <c:pt idx="0">
                  <c:v>PPK pracownik</c:v>
                </c:pt>
              </c:strCache>
            </c:strRef>
          </c:tx>
          <c:spPr>
            <a:solidFill>
              <a:srgbClr val="820000"/>
            </a:solidFill>
          </c:spPr>
          <c:invertIfNegative val="0"/>
          <c:dLbls>
            <c:dLbl>
              <c:idx val="0"/>
              <c:layout>
                <c:manualLayout>
                  <c:x val="0.25154589371980679"/>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31-4C9B-A25F-2860B659502F}"/>
                </c:ext>
              </c:extLst>
            </c:dLbl>
            <c:spPr>
              <a:solidFill>
                <a:srgbClr val="820000"/>
              </a:solidFill>
              <a:ln>
                <a:noFill/>
              </a:ln>
              <a:effectLst/>
            </c:spPr>
            <c:txPr>
              <a:bodyPr wrap="square" lIns="38100" tIns="19050" rIns="38100" bIns="19050" anchor="ctr">
                <a:spAutoFit/>
              </a:bodyPr>
              <a:lstStyle/>
              <a:p>
                <a:pPr>
                  <a:defRPr>
                    <a:solidFill>
                      <a:schemeClr val="bg1"/>
                    </a:solidFill>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zmienne!$J$3</c:f>
              <c:numCache>
                <c:formatCode>0.00%</c:formatCode>
                <c:ptCount val="1"/>
                <c:pt idx="0">
                  <c:v>0</c:v>
                </c:pt>
              </c:numCache>
            </c:numRef>
          </c:val>
          <c:extLst>
            <c:ext xmlns:c16="http://schemas.microsoft.com/office/drawing/2014/chart" uri="{C3380CC4-5D6E-409C-BE32-E72D297353CC}">
              <c16:uniqueId val="{00000000-3E31-4C9B-A25F-2860B659502F}"/>
            </c:ext>
          </c:extLst>
        </c:ser>
        <c:dLbls>
          <c:showLegendKey val="0"/>
          <c:showVal val="1"/>
          <c:showCatName val="0"/>
          <c:showSerName val="0"/>
          <c:showPercent val="0"/>
          <c:showBubbleSize val="0"/>
        </c:dLbls>
        <c:gapWidth val="55"/>
        <c:overlap val="100"/>
        <c:axId val="454914568"/>
        <c:axId val="454915352"/>
      </c:barChart>
      <c:catAx>
        <c:axId val="454914568"/>
        <c:scaling>
          <c:orientation val="minMax"/>
        </c:scaling>
        <c:delete val="1"/>
        <c:axPos val="b"/>
        <c:majorTickMark val="out"/>
        <c:minorTickMark val="none"/>
        <c:tickLblPos val="nextTo"/>
        <c:crossAx val="454915352"/>
        <c:crosses val="autoZero"/>
        <c:auto val="1"/>
        <c:lblAlgn val="ctr"/>
        <c:lblOffset val="100"/>
        <c:noMultiLvlLbl val="0"/>
      </c:catAx>
      <c:valAx>
        <c:axId val="454915352"/>
        <c:scaling>
          <c:orientation val="minMax"/>
          <c:max val="1"/>
        </c:scaling>
        <c:delete val="0"/>
        <c:axPos val="l"/>
        <c:numFmt formatCode="0.00%" sourceLinked="1"/>
        <c:majorTickMark val="none"/>
        <c:minorTickMark val="none"/>
        <c:tickLblPos val="nextTo"/>
        <c:crossAx val="454914568"/>
        <c:crossesAt val="1"/>
        <c:crossBetween val="between"/>
      </c:valAx>
    </c:plotArea>
    <c:legend>
      <c:legendPos val="r"/>
      <c:layout>
        <c:manualLayout>
          <c:xMode val="edge"/>
          <c:yMode val="edge"/>
          <c:x val="0.65536135265700479"/>
          <c:y val="0.14451620370370372"/>
          <c:w val="0.34463864734299521"/>
          <c:h val="0.69416620370370374"/>
        </c:manualLayout>
      </c:layout>
      <c:overlay val="0"/>
      <c:txPr>
        <a:bodyPr/>
        <a:lstStyle/>
        <a:p>
          <a:pPr>
            <a:defRPr sz="900"/>
          </a:pPr>
          <a:endParaRPr lang="pl-PL"/>
        </a:p>
      </c:txPr>
    </c:legend>
    <c:plotVisOnly val="1"/>
    <c:dispBlanksAs val="gap"/>
    <c:showDLblsOverMax val="0"/>
  </c:chart>
  <c:spPr>
    <a:ln>
      <a:noFill/>
    </a:ln>
  </c:spPr>
  <c:txPr>
    <a:bodyPr/>
    <a:lstStyle/>
    <a:p>
      <a:pPr>
        <a:defRPr>
          <a:latin typeface="+mj-lt"/>
        </a:defRPr>
      </a:pPr>
      <a:endParaRPr lang="pl-PL"/>
    </a:p>
  </c:txPr>
  <c:printSettings>
    <c:headerFooter/>
    <c:pageMargins b="0.75000000000000311" l="0.70000000000000062" r="0.70000000000000062" t="0.750000000000003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mj-lt"/>
              </a:defRPr>
            </a:pPr>
            <a:r>
              <a:rPr lang="pl-PL" sz="1100">
                <a:latin typeface="+mj-lt"/>
              </a:rPr>
              <a:t>Rozkład rocznych kosztów pracy pracownika dla pracodawcy </a:t>
            </a:r>
            <a:br>
              <a:rPr lang="pl-PL" sz="1100">
                <a:latin typeface="+mj-lt"/>
              </a:rPr>
            </a:br>
            <a:r>
              <a:rPr lang="pl-PL" sz="1100">
                <a:latin typeface="+mj-lt"/>
              </a:rPr>
              <a:t>(100%=całkowity koszt płacowy pracownika)</a:t>
            </a:r>
          </a:p>
        </c:rich>
      </c:tx>
      <c:overlay val="0"/>
    </c:title>
    <c:autoTitleDeleted val="0"/>
    <c:plotArea>
      <c:layout>
        <c:manualLayout>
          <c:layoutTarget val="inner"/>
          <c:xMode val="edge"/>
          <c:yMode val="edge"/>
          <c:x val="0.14103018372703452"/>
          <c:y val="0.16401898965816541"/>
          <c:w val="0.27050504213289128"/>
          <c:h val="0.79912005521222196"/>
        </c:manualLayout>
      </c:layout>
      <c:barChart>
        <c:barDir val="col"/>
        <c:grouping val="stacked"/>
        <c:varyColors val="0"/>
        <c:ser>
          <c:idx val="0"/>
          <c:order val="0"/>
          <c:tx>
            <c:strRef>
              <c:f>zmienne!$H$12</c:f>
              <c:strCache>
                <c:ptCount val="1"/>
                <c:pt idx="0">
                  <c:v>netto</c:v>
                </c:pt>
              </c:strCache>
            </c:strRef>
          </c:tx>
          <c:spPr>
            <a:solidFill>
              <a:srgbClr val="33CC33"/>
            </a:solidFill>
          </c:spPr>
          <c:invertIfNegative val="0"/>
          <c:dLbls>
            <c:dLbl>
              <c:idx val="0"/>
              <c:layout>
                <c:manualLayout>
                  <c:x val="0"/>
                  <c:y val="-3.609507144940220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D0-41F5-813E-5D3031D4770C}"/>
                </c:ext>
              </c:extLst>
            </c:dLbl>
            <c:spPr>
              <a:noFill/>
              <a:ln>
                <a:noFill/>
              </a:ln>
              <a:effectLst/>
            </c:spPr>
            <c:txPr>
              <a:bodyPr/>
              <a:lstStyle/>
              <a:p>
                <a:pPr>
                  <a:defRPr sz="1200" b="1">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zmienne!$J$12</c:f>
              <c:numCache>
                <c:formatCode>0.00%</c:formatCode>
                <c:ptCount val="1"/>
                <c:pt idx="0">
                  <c:v>0</c:v>
                </c:pt>
              </c:numCache>
            </c:numRef>
          </c:val>
          <c:extLst>
            <c:ext xmlns:c16="http://schemas.microsoft.com/office/drawing/2014/chart" uri="{C3380CC4-5D6E-409C-BE32-E72D297353CC}">
              <c16:uniqueId val="{00000001-0FD0-41F5-813E-5D3031D4770C}"/>
            </c:ext>
          </c:extLst>
        </c:ser>
        <c:ser>
          <c:idx val="11"/>
          <c:order val="1"/>
          <c:tx>
            <c:strRef>
              <c:f>zmienne!$H$13</c:f>
              <c:strCache>
                <c:ptCount val="1"/>
                <c:pt idx="0">
                  <c:v>PPK pracownik</c:v>
                </c:pt>
              </c:strCache>
            </c:strRef>
          </c:tx>
          <c:spPr>
            <a:solidFill>
              <a:srgbClr val="820000"/>
            </a:solidFill>
          </c:spPr>
          <c:invertIfNegative val="0"/>
          <c:dLbls>
            <c:dLbl>
              <c:idx val="0"/>
              <c:layout>
                <c:manualLayout>
                  <c:x val="0.23007246376811594"/>
                  <c:y val="0.367476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FAB-4911-92E2-8933C2E09AE7}"/>
                </c:ext>
              </c:extLst>
            </c:dLbl>
            <c:spPr>
              <a:solidFill>
                <a:srgbClr val="820000"/>
              </a:solidFill>
              <a:ln>
                <a:noFill/>
              </a:ln>
              <a:effectLst/>
            </c:spPr>
            <c:txPr>
              <a:bodyPr wrap="square" lIns="38100" tIns="19050" rIns="38100" bIns="19050" anchor="ctr">
                <a:spAutoFit/>
              </a:bodyPr>
              <a:lstStyle/>
              <a:p>
                <a:pPr>
                  <a:defRPr>
                    <a:solidFill>
                      <a:schemeClr val="bg1"/>
                    </a:solidFill>
                    <a:latin typeface="+mj-lt"/>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zmienne!$J$13</c:f>
              <c:numCache>
                <c:formatCode>0.00%</c:formatCode>
                <c:ptCount val="1"/>
                <c:pt idx="0">
                  <c:v>0</c:v>
                </c:pt>
              </c:numCache>
            </c:numRef>
          </c:val>
          <c:extLst>
            <c:ext xmlns:c16="http://schemas.microsoft.com/office/drawing/2014/chart" uri="{C3380CC4-5D6E-409C-BE32-E72D297353CC}">
              <c16:uniqueId val="{0000001A-0FAB-4911-92E2-8933C2E09AE7}"/>
            </c:ext>
          </c:extLst>
        </c:ser>
        <c:ser>
          <c:idx val="1"/>
          <c:order val="2"/>
          <c:tx>
            <c:strRef>
              <c:f>zmienne!$H$14</c:f>
              <c:strCache>
                <c:ptCount val="1"/>
                <c:pt idx="0">
                  <c:v>ub. zdrowotne</c:v>
                </c:pt>
              </c:strCache>
            </c:strRef>
          </c:tx>
          <c:spPr>
            <a:solidFill>
              <a:srgbClr val="C00000"/>
            </a:solidFill>
          </c:spPr>
          <c:invertIfNegative val="0"/>
          <c:dLbls>
            <c:dLbl>
              <c:idx val="0"/>
              <c:layout>
                <c:manualLayout>
                  <c:x val="0.22997584541062796"/>
                  <c:y val="0.33683055555555547"/>
                </c:manualLayout>
              </c:layout>
              <c:spPr>
                <a:solidFill>
                  <a:srgbClr val="C000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D0-41F5-813E-5D3031D4770C}"/>
                </c:ext>
              </c:extLst>
            </c:dLbl>
            <c:spPr>
              <a:solidFill>
                <a:srgbClr val="C000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zmienne!$J$14</c:f>
              <c:numCache>
                <c:formatCode>0.00%</c:formatCode>
                <c:ptCount val="1"/>
                <c:pt idx="0">
                  <c:v>0</c:v>
                </c:pt>
              </c:numCache>
            </c:numRef>
          </c:val>
          <c:extLst>
            <c:ext xmlns:c16="http://schemas.microsoft.com/office/drawing/2014/chart" uri="{C3380CC4-5D6E-409C-BE32-E72D297353CC}">
              <c16:uniqueId val="{00000003-0FD0-41F5-813E-5D3031D4770C}"/>
            </c:ext>
          </c:extLst>
        </c:ser>
        <c:ser>
          <c:idx val="2"/>
          <c:order val="3"/>
          <c:tx>
            <c:strRef>
              <c:f>zmienne!$H$15</c:f>
              <c:strCache>
                <c:ptCount val="1"/>
                <c:pt idx="0">
                  <c:v>ub. chorobowe</c:v>
                </c:pt>
              </c:strCache>
            </c:strRef>
          </c:tx>
          <c:spPr>
            <a:solidFill>
              <a:srgbClr val="FF0000"/>
            </a:solidFill>
          </c:spPr>
          <c:invertIfNegative val="0"/>
          <c:dLbls>
            <c:dLbl>
              <c:idx val="0"/>
              <c:layout>
                <c:manualLayout>
                  <c:x val="0.23275362318840578"/>
                  <c:y val="0.3121342592592592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D0-41F5-813E-5D3031D4770C}"/>
                </c:ext>
              </c:extLst>
            </c:dLbl>
            <c:spPr>
              <a:solidFill>
                <a:srgbClr val="FF0000"/>
              </a:solidFill>
            </c:spPr>
            <c:txPr>
              <a:bodyPr/>
              <a:lstStyle/>
              <a:p>
                <a:pPr>
                  <a:defRPr>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zmienne!$J$15</c:f>
              <c:numCache>
                <c:formatCode>0.00%</c:formatCode>
                <c:ptCount val="1"/>
                <c:pt idx="0">
                  <c:v>0</c:v>
                </c:pt>
              </c:numCache>
            </c:numRef>
          </c:val>
          <c:extLst>
            <c:ext xmlns:c16="http://schemas.microsoft.com/office/drawing/2014/chart" uri="{C3380CC4-5D6E-409C-BE32-E72D297353CC}">
              <c16:uniqueId val="{00000005-0FD0-41F5-813E-5D3031D4770C}"/>
            </c:ext>
          </c:extLst>
        </c:ser>
        <c:ser>
          <c:idx val="3"/>
          <c:order val="4"/>
          <c:tx>
            <c:strRef>
              <c:f>zmienne!$H$16</c:f>
              <c:strCache>
                <c:ptCount val="1"/>
                <c:pt idx="0">
                  <c:v>ub. rentowe pracownik</c:v>
                </c:pt>
              </c:strCache>
            </c:strRef>
          </c:tx>
          <c:spPr>
            <a:solidFill>
              <a:srgbClr val="FF6600"/>
            </a:solidFill>
          </c:spPr>
          <c:invertIfNegative val="0"/>
          <c:dLbls>
            <c:dLbl>
              <c:idx val="0"/>
              <c:layout>
                <c:manualLayout>
                  <c:x val="0.23275362318840578"/>
                  <c:y val="0.26131273148148149"/>
                </c:manualLayout>
              </c:layout>
              <c:spPr>
                <a:solidFill>
                  <a:srgbClr val="FF66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D0-41F5-813E-5D3031D4770C}"/>
                </c:ext>
              </c:extLst>
            </c:dLbl>
            <c:spPr>
              <a:solidFill>
                <a:srgbClr val="FF66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zmienne!$J$16</c:f>
              <c:numCache>
                <c:formatCode>0.00%</c:formatCode>
                <c:ptCount val="1"/>
                <c:pt idx="0">
                  <c:v>0</c:v>
                </c:pt>
              </c:numCache>
            </c:numRef>
          </c:val>
          <c:extLst>
            <c:ext xmlns:c16="http://schemas.microsoft.com/office/drawing/2014/chart" uri="{C3380CC4-5D6E-409C-BE32-E72D297353CC}">
              <c16:uniqueId val="{00000007-0FD0-41F5-813E-5D3031D4770C}"/>
            </c:ext>
          </c:extLst>
        </c:ser>
        <c:ser>
          <c:idx val="4"/>
          <c:order val="5"/>
          <c:tx>
            <c:strRef>
              <c:f>zmienne!$H$17</c:f>
              <c:strCache>
                <c:ptCount val="1"/>
                <c:pt idx="0">
                  <c:v>ub. emerytalne pracownik</c:v>
                </c:pt>
              </c:strCache>
            </c:strRef>
          </c:tx>
          <c:spPr>
            <a:solidFill>
              <a:srgbClr val="FFC000"/>
            </a:solidFill>
          </c:spPr>
          <c:invertIfNegative val="0"/>
          <c:dLbls>
            <c:dLbl>
              <c:idx val="0"/>
              <c:layout>
                <c:manualLayout>
                  <c:x val="0.23275362318840578"/>
                  <c:y val="0.23806250000000001"/>
                </c:manualLayout>
              </c:layout>
              <c:spPr>
                <a:solidFill>
                  <a:srgbClr val="FFC0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D0-41F5-813E-5D3031D4770C}"/>
                </c:ext>
              </c:extLst>
            </c:dLbl>
            <c:spPr>
              <a:solidFill>
                <a:srgbClr val="FFC000"/>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zmienne!$J$17</c:f>
              <c:numCache>
                <c:formatCode>0.00%</c:formatCode>
                <c:ptCount val="1"/>
                <c:pt idx="0">
                  <c:v>0</c:v>
                </c:pt>
              </c:numCache>
            </c:numRef>
          </c:val>
          <c:extLst>
            <c:ext xmlns:c16="http://schemas.microsoft.com/office/drawing/2014/chart" uri="{C3380CC4-5D6E-409C-BE32-E72D297353CC}">
              <c16:uniqueId val="{00000009-0FD0-41F5-813E-5D3031D4770C}"/>
            </c:ext>
          </c:extLst>
        </c:ser>
        <c:ser>
          <c:idx val="5"/>
          <c:order val="6"/>
          <c:tx>
            <c:strRef>
              <c:f>zmienne!$H$18</c:f>
              <c:strCache>
                <c:ptCount val="1"/>
                <c:pt idx="0">
                  <c:v>zaliczka na PIT</c:v>
                </c:pt>
              </c:strCache>
            </c:strRef>
          </c:tx>
          <c:spPr>
            <a:solidFill>
              <a:srgbClr val="FFFF00"/>
            </a:solidFill>
          </c:spPr>
          <c:invertIfNegative val="0"/>
          <c:dLbls>
            <c:dLbl>
              <c:idx val="0"/>
              <c:layout>
                <c:manualLayout>
                  <c:x val="0.22900821256038642"/>
                  <c:y val="0.22990231481481482"/>
                </c:manualLayout>
              </c:layout>
              <c:spPr>
                <a:solidFill>
                  <a:srgbClr val="FFFF00"/>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D0-41F5-813E-5D3031D4770C}"/>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zmienne!$J$18</c:f>
              <c:numCache>
                <c:formatCode>0.00%</c:formatCode>
                <c:ptCount val="1"/>
                <c:pt idx="0">
                  <c:v>0</c:v>
                </c:pt>
              </c:numCache>
            </c:numRef>
          </c:val>
          <c:extLst>
            <c:ext xmlns:c16="http://schemas.microsoft.com/office/drawing/2014/chart" uri="{C3380CC4-5D6E-409C-BE32-E72D297353CC}">
              <c16:uniqueId val="{0000000B-0FD0-41F5-813E-5D3031D4770C}"/>
            </c:ext>
          </c:extLst>
        </c:ser>
        <c:ser>
          <c:idx val="12"/>
          <c:order val="7"/>
          <c:tx>
            <c:strRef>
              <c:f>zmienne!$H$19</c:f>
              <c:strCache>
                <c:ptCount val="1"/>
                <c:pt idx="0">
                  <c:v>PPK pracodawca</c:v>
                </c:pt>
              </c:strCache>
            </c:strRef>
          </c:tx>
          <c:spPr>
            <a:solidFill>
              <a:schemeClr val="accent1">
                <a:lumMod val="50000"/>
              </a:schemeClr>
            </a:solidFill>
          </c:spPr>
          <c:invertIfNegative val="0"/>
          <c:dLbls>
            <c:dLbl>
              <c:idx val="0"/>
              <c:layout>
                <c:manualLayout>
                  <c:x val="0.23007246376811594"/>
                  <c:y val="0.1999074074074073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FAB-4911-92E2-8933C2E09AE7}"/>
                </c:ext>
              </c:extLst>
            </c:dLbl>
            <c:spPr>
              <a:solidFill>
                <a:schemeClr val="accent1">
                  <a:lumMod val="50000"/>
                </a:schemeClr>
              </a:solidFill>
              <a:ln>
                <a:noFill/>
              </a:ln>
              <a:effectLst/>
            </c:spPr>
            <c:txPr>
              <a:bodyPr wrap="square" lIns="38100" tIns="19050" rIns="38100" bIns="19050" anchor="ctr">
                <a:spAutoFit/>
              </a:bodyPr>
              <a:lstStyle/>
              <a:p>
                <a:pPr>
                  <a:defRPr>
                    <a:solidFill>
                      <a:schemeClr val="bg1"/>
                    </a:solidFill>
                    <a:latin typeface="+mj-lt"/>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zmienne!$J$19</c:f>
              <c:numCache>
                <c:formatCode>0.00%</c:formatCode>
                <c:ptCount val="1"/>
                <c:pt idx="0">
                  <c:v>0</c:v>
                </c:pt>
              </c:numCache>
            </c:numRef>
          </c:val>
          <c:extLst>
            <c:ext xmlns:c16="http://schemas.microsoft.com/office/drawing/2014/chart" uri="{C3380CC4-5D6E-409C-BE32-E72D297353CC}">
              <c16:uniqueId val="{0000001B-0FAB-4911-92E2-8933C2E09AE7}"/>
            </c:ext>
          </c:extLst>
        </c:ser>
        <c:ser>
          <c:idx val="6"/>
          <c:order val="8"/>
          <c:tx>
            <c:strRef>
              <c:f>zmienne!$H$20</c:f>
              <c:strCache>
                <c:ptCount val="1"/>
                <c:pt idx="0">
                  <c:v>ub. emerytalne pracodawca</c:v>
                </c:pt>
              </c:strCache>
            </c:strRef>
          </c:tx>
          <c:spPr>
            <a:solidFill>
              <a:schemeClr val="accent2">
                <a:lumMod val="75000"/>
              </a:schemeClr>
            </a:solidFill>
          </c:spPr>
          <c:invertIfNegative val="0"/>
          <c:dLbls>
            <c:dLbl>
              <c:idx val="0"/>
              <c:layout>
                <c:manualLayout>
                  <c:x val="0.23275362318840578"/>
                  <c:y val="0.17417638888888884"/>
                </c:manualLayout>
              </c:layout>
              <c:spPr>
                <a:solidFill>
                  <a:schemeClr val="accent2">
                    <a:lumMod val="75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D0-41F5-813E-5D3031D4770C}"/>
                </c:ext>
              </c:extLst>
            </c:dLbl>
            <c:spPr>
              <a:solidFill>
                <a:schemeClr val="accent2">
                  <a:lumMod val="75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zmienne!$J$20</c:f>
              <c:numCache>
                <c:formatCode>0.00%</c:formatCode>
                <c:ptCount val="1"/>
                <c:pt idx="0">
                  <c:v>0</c:v>
                </c:pt>
              </c:numCache>
            </c:numRef>
          </c:val>
          <c:extLst>
            <c:ext xmlns:c16="http://schemas.microsoft.com/office/drawing/2014/chart" uri="{C3380CC4-5D6E-409C-BE32-E72D297353CC}">
              <c16:uniqueId val="{0000000D-0FD0-41F5-813E-5D3031D4770C}"/>
            </c:ext>
          </c:extLst>
        </c:ser>
        <c:ser>
          <c:idx val="7"/>
          <c:order val="9"/>
          <c:tx>
            <c:strRef>
              <c:f>zmienne!$H$21</c:f>
              <c:strCache>
                <c:ptCount val="1"/>
                <c:pt idx="0">
                  <c:v>ub. rentowe pracodawca</c:v>
                </c:pt>
              </c:strCache>
            </c:strRef>
          </c:tx>
          <c:spPr>
            <a:solidFill>
              <a:schemeClr val="accent1">
                <a:lumMod val="60000"/>
                <a:lumOff val="40000"/>
              </a:schemeClr>
            </a:solidFill>
          </c:spPr>
          <c:invertIfNegative val="0"/>
          <c:dLbls>
            <c:dLbl>
              <c:idx val="0"/>
              <c:layout>
                <c:manualLayout>
                  <c:x val="0.23275362318840578"/>
                  <c:y val="0.1535782407407407"/>
                </c:manualLayout>
              </c:layout>
              <c:spPr>
                <a:solidFill>
                  <a:schemeClr val="accent1">
                    <a:lumMod val="60000"/>
                    <a:lumOff val="4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FD0-41F5-813E-5D3031D4770C}"/>
                </c:ext>
              </c:extLst>
            </c:dLbl>
            <c:spPr>
              <a:solidFill>
                <a:schemeClr val="accent1">
                  <a:lumMod val="60000"/>
                  <a:lumOff val="4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zmienne!$J$21</c:f>
              <c:numCache>
                <c:formatCode>0.00%</c:formatCode>
                <c:ptCount val="1"/>
                <c:pt idx="0">
                  <c:v>0</c:v>
                </c:pt>
              </c:numCache>
            </c:numRef>
          </c:val>
          <c:extLst>
            <c:ext xmlns:c16="http://schemas.microsoft.com/office/drawing/2014/chart" uri="{C3380CC4-5D6E-409C-BE32-E72D297353CC}">
              <c16:uniqueId val="{0000000F-0FD0-41F5-813E-5D3031D4770C}"/>
            </c:ext>
          </c:extLst>
        </c:ser>
        <c:ser>
          <c:idx val="8"/>
          <c:order val="10"/>
          <c:tx>
            <c:strRef>
              <c:f>zmienne!$H$22</c:f>
              <c:strCache>
                <c:ptCount val="1"/>
                <c:pt idx="0">
                  <c:v>wypadkowe</c:v>
                </c:pt>
              </c:strCache>
            </c:strRef>
          </c:tx>
          <c:spPr>
            <a:solidFill>
              <a:schemeClr val="accent3">
                <a:lumMod val="40000"/>
                <a:lumOff val="60000"/>
              </a:schemeClr>
            </a:solidFill>
          </c:spPr>
          <c:invertIfNegative val="0"/>
          <c:dLbls>
            <c:dLbl>
              <c:idx val="0"/>
              <c:layout>
                <c:manualLayout>
                  <c:x val="0.23275362318840578"/>
                  <c:y val="0.11972175925925921"/>
                </c:manualLayout>
              </c:layout>
              <c:spPr>
                <a:solidFill>
                  <a:schemeClr val="accent3">
                    <a:lumMod val="40000"/>
                    <a:lumOff val="6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FD0-41F5-813E-5D3031D4770C}"/>
                </c:ext>
              </c:extLst>
            </c:dLbl>
            <c:spPr>
              <a:solidFill>
                <a:schemeClr val="accent3">
                  <a:lumMod val="40000"/>
                  <a:lumOff val="6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zmienne!$J$22</c:f>
              <c:numCache>
                <c:formatCode>0.00%</c:formatCode>
                <c:ptCount val="1"/>
                <c:pt idx="0">
                  <c:v>0</c:v>
                </c:pt>
              </c:numCache>
            </c:numRef>
          </c:val>
          <c:extLst>
            <c:ext xmlns:c16="http://schemas.microsoft.com/office/drawing/2014/chart" uri="{C3380CC4-5D6E-409C-BE32-E72D297353CC}">
              <c16:uniqueId val="{00000011-0FD0-41F5-813E-5D3031D4770C}"/>
            </c:ext>
          </c:extLst>
        </c:ser>
        <c:ser>
          <c:idx val="9"/>
          <c:order val="11"/>
          <c:tx>
            <c:strRef>
              <c:f>zmienne!$H$23</c:f>
              <c:strCache>
                <c:ptCount val="1"/>
                <c:pt idx="0">
                  <c:v>fundusz pracy</c:v>
                </c:pt>
              </c:strCache>
            </c:strRef>
          </c:tx>
          <c:spPr>
            <a:solidFill>
              <a:schemeClr val="accent4">
                <a:lumMod val="60000"/>
                <a:lumOff val="40000"/>
              </a:schemeClr>
            </a:solidFill>
          </c:spPr>
          <c:invertIfNegative val="0"/>
          <c:dLbls>
            <c:dLbl>
              <c:idx val="0"/>
              <c:layout>
                <c:manualLayout>
                  <c:x val="0.23275362318840578"/>
                  <c:y val="7.2922685185185188E-2"/>
                </c:manualLayout>
              </c:layout>
              <c:spPr>
                <a:solidFill>
                  <a:schemeClr val="accent4">
                    <a:lumMod val="60000"/>
                    <a:lumOff val="40000"/>
                  </a:schemeClr>
                </a:solidFill>
              </c:spPr>
              <c:txPr>
                <a:bodyPr/>
                <a:lstStyle/>
                <a:p>
                  <a:pPr>
                    <a:defRPr>
                      <a:latin typeface="+mj-lt"/>
                    </a:defRPr>
                  </a:pPr>
                  <a:endParaRPr lang="pl-P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FD0-41F5-813E-5D3031D4770C}"/>
                </c:ext>
              </c:extLst>
            </c:dLbl>
            <c:spPr>
              <a:solidFill>
                <a:schemeClr val="accent4">
                  <a:lumMod val="60000"/>
                  <a:lumOff val="40000"/>
                </a:schemeClr>
              </a:solidFill>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zmienne!$J$23</c:f>
              <c:numCache>
                <c:formatCode>0.00%</c:formatCode>
                <c:ptCount val="1"/>
                <c:pt idx="0">
                  <c:v>0</c:v>
                </c:pt>
              </c:numCache>
            </c:numRef>
          </c:val>
          <c:extLst>
            <c:ext xmlns:c16="http://schemas.microsoft.com/office/drawing/2014/chart" uri="{C3380CC4-5D6E-409C-BE32-E72D297353CC}">
              <c16:uniqueId val="{00000013-0FD0-41F5-813E-5D3031D4770C}"/>
            </c:ext>
          </c:extLst>
        </c:ser>
        <c:ser>
          <c:idx val="10"/>
          <c:order val="12"/>
          <c:tx>
            <c:strRef>
              <c:f>zmienne!$H$24</c:f>
              <c:strCache>
                <c:ptCount val="1"/>
                <c:pt idx="0">
                  <c:v>fundusz gwar.św.prac.</c:v>
                </c:pt>
              </c:strCache>
            </c:strRef>
          </c:tx>
          <c:spPr>
            <a:solidFill>
              <a:schemeClr val="accent5">
                <a:lumMod val="60000"/>
                <a:lumOff val="40000"/>
              </a:schemeClr>
            </a:solidFill>
          </c:spPr>
          <c:invertIfNegative val="0"/>
          <c:dLbls>
            <c:dLbl>
              <c:idx val="0"/>
              <c:layout>
                <c:manualLayout>
                  <c:x val="0.23388623188405791"/>
                  <c:y val="2.23194444444444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FD0-41F5-813E-5D3031D4770C}"/>
                </c:ext>
              </c:extLst>
            </c:dLbl>
            <c:spPr>
              <a:solidFill>
                <a:schemeClr val="accent5">
                  <a:lumMod val="60000"/>
                  <a:lumOff val="40000"/>
                </a:schemeClr>
              </a:solidFill>
            </c:spPr>
            <c:txPr>
              <a:bodyPr/>
              <a:lstStyle/>
              <a:p>
                <a:pPr>
                  <a:defRPr>
                    <a:latin typeface="+mj-lt"/>
                  </a:defRPr>
                </a:pPr>
                <a:endParaRPr lang="pl-P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zmienne!$J$24</c:f>
              <c:numCache>
                <c:formatCode>0.00%</c:formatCode>
                <c:ptCount val="1"/>
                <c:pt idx="0">
                  <c:v>0</c:v>
                </c:pt>
              </c:numCache>
            </c:numRef>
          </c:val>
          <c:extLst>
            <c:ext xmlns:c16="http://schemas.microsoft.com/office/drawing/2014/chart" uri="{C3380CC4-5D6E-409C-BE32-E72D297353CC}">
              <c16:uniqueId val="{00000015-0FD0-41F5-813E-5D3031D4770C}"/>
            </c:ext>
          </c:extLst>
        </c:ser>
        <c:dLbls>
          <c:showLegendKey val="0"/>
          <c:showVal val="1"/>
          <c:showCatName val="0"/>
          <c:showSerName val="0"/>
          <c:showPercent val="0"/>
          <c:showBubbleSize val="0"/>
        </c:dLbls>
        <c:gapWidth val="55"/>
        <c:overlap val="100"/>
        <c:axId val="454916920"/>
        <c:axId val="454916136"/>
      </c:barChart>
      <c:catAx>
        <c:axId val="454916920"/>
        <c:scaling>
          <c:orientation val="minMax"/>
        </c:scaling>
        <c:delete val="1"/>
        <c:axPos val="b"/>
        <c:majorTickMark val="none"/>
        <c:minorTickMark val="none"/>
        <c:tickLblPos val="none"/>
        <c:crossAx val="454916136"/>
        <c:crosses val="autoZero"/>
        <c:auto val="1"/>
        <c:lblAlgn val="ctr"/>
        <c:lblOffset val="100"/>
        <c:noMultiLvlLbl val="0"/>
      </c:catAx>
      <c:valAx>
        <c:axId val="454916136"/>
        <c:scaling>
          <c:orientation val="minMax"/>
          <c:max val="1"/>
        </c:scaling>
        <c:delete val="0"/>
        <c:axPos val="l"/>
        <c:numFmt formatCode="0.00%" sourceLinked="1"/>
        <c:majorTickMark val="none"/>
        <c:minorTickMark val="none"/>
        <c:tickLblPos val="nextTo"/>
        <c:txPr>
          <a:bodyPr/>
          <a:lstStyle/>
          <a:p>
            <a:pPr>
              <a:defRPr>
                <a:latin typeface="+mj-lt"/>
              </a:defRPr>
            </a:pPr>
            <a:endParaRPr lang="pl-PL"/>
          </a:p>
        </c:txPr>
        <c:crossAx val="454916920"/>
        <c:crosses val="autoZero"/>
        <c:crossBetween val="between"/>
      </c:valAx>
    </c:plotArea>
    <c:legend>
      <c:legendPos val="r"/>
      <c:layout>
        <c:manualLayout>
          <c:xMode val="edge"/>
          <c:yMode val="edge"/>
          <c:x val="0.57429561473355295"/>
          <c:y val="0.15637424057052662"/>
          <c:w val="0.40388888888888896"/>
          <c:h val="0.80478055555555561"/>
        </c:manualLayout>
      </c:layout>
      <c:overlay val="0"/>
      <c:txPr>
        <a:bodyPr/>
        <a:lstStyle/>
        <a:p>
          <a:pPr>
            <a:defRPr sz="900">
              <a:latin typeface="+mj-lt"/>
            </a:defRPr>
          </a:pPr>
          <a:endParaRPr lang="pl-PL"/>
        </a:p>
      </c:txPr>
    </c:legend>
    <c:plotVisOnly val="1"/>
    <c:dispBlanksAs val="gap"/>
    <c:showDLblsOverMax val="0"/>
  </c:chart>
  <c:spPr>
    <a:ln>
      <a:noFill/>
    </a:ln>
  </c:spPr>
  <c:printSettings>
    <c:headerFooter/>
    <c:pageMargins b="0.75000000000000167" l="0.70000000000000062" r="0.70000000000000062" t="0.75000000000000167"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18698</xdr:colOff>
      <xdr:row>18</xdr:row>
      <xdr:rowOff>133350</xdr:rowOff>
    </xdr:to>
    <xdr:graphicFrame macro="">
      <xdr:nvGraphicFramePr>
        <xdr:cNvPr id="2" name="Wykres 1">
          <a:extLst>
            <a:ext uri="{FF2B5EF4-FFF2-40B4-BE49-F238E27FC236}">
              <a16:creationId xmlns:a16="http://schemas.microsoft.com/office/drawing/2014/main" id="{B1C032FC-5487-4F80-BDF5-7FF54D4788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232410</xdr:colOff>
      <xdr:row>0</xdr:row>
      <xdr:rowOff>28575</xdr:rowOff>
    </xdr:from>
    <xdr:to>
      <xdr:col>14</xdr:col>
      <xdr:colOff>105210</xdr:colOff>
      <xdr:row>26</xdr:row>
      <xdr:rowOff>138525</xdr:rowOff>
    </xdr:to>
    <xdr:graphicFrame macro="">
      <xdr:nvGraphicFramePr>
        <xdr:cNvPr id="3" name="Wykres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15239</xdr:rowOff>
    </xdr:from>
    <xdr:to>
      <xdr:col>6</xdr:col>
      <xdr:colOff>482400</xdr:colOff>
      <xdr:row>26</xdr:row>
      <xdr:rowOff>125189</xdr:rowOff>
    </xdr:to>
    <xdr:graphicFrame macro="">
      <xdr:nvGraphicFramePr>
        <xdr:cNvPr id="4" name="Wykres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Przepływ">
  <a:themeElements>
    <a:clrScheme name="Przepły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Przepływ">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Przepły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autoPageBreaks="0" fitToPage="1"/>
  </sheetPr>
  <dimension ref="B1:AC39"/>
  <sheetViews>
    <sheetView showGridLines="0" showRowColHeaders="0" tabSelected="1" zoomScale="70" zoomScaleNormal="70" workbookViewId="0">
      <selection activeCell="Q9" sqref="Q9:T9"/>
    </sheetView>
  </sheetViews>
  <sheetFormatPr defaultColWidth="11.453125" defaultRowHeight="13"/>
  <cols>
    <col min="1" max="1" width="1.453125" style="54" customWidth="1"/>
    <col min="2" max="2" width="3.7265625" style="54" hidden="1" customWidth="1"/>
    <col min="3" max="3" width="5.54296875" style="54" hidden="1" customWidth="1"/>
    <col min="4" max="4" width="11" style="53" customWidth="1"/>
    <col min="5" max="5" width="13.7265625" style="54" customWidth="1"/>
    <col min="6" max="6" width="11" style="54" hidden="1" customWidth="1"/>
    <col min="7" max="8" width="13.7265625" style="54" customWidth="1"/>
    <col min="9" max="9" width="9.7265625" style="54" customWidth="1"/>
    <col min="10" max="12" width="10.7265625" style="54" customWidth="1"/>
    <col min="13" max="13" width="7.54296875" style="54" hidden="1" customWidth="1"/>
    <col min="14" max="14" width="10.7265625" style="54" customWidth="1"/>
    <col min="15" max="15" width="12.453125" style="54" hidden="1" customWidth="1"/>
    <col min="16" max="16" width="9.81640625" style="54" hidden="1" customWidth="1"/>
    <col min="17" max="17" width="7.1796875" style="54" hidden="1" customWidth="1"/>
    <col min="18" max="18" width="7.81640625" style="54" hidden="1" customWidth="1"/>
    <col min="19" max="20" width="10.7265625" style="55" customWidth="1"/>
    <col min="21" max="21" width="11" style="55" customWidth="1"/>
    <col min="22" max="22" width="10.7265625" style="183" customWidth="1"/>
    <col min="23" max="24" width="10.7265625" style="54" customWidth="1"/>
    <col min="25" max="25" width="8.1796875" style="54" hidden="1" customWidth="1"/>
    <col min="26" max="27" width="10.7265625" style="54" customWidth="1"/>
    <col min="28" max="28" width="11.1796875" style="54" bestFit="1" customWidth="1"/>
    <col min="29" max="16384" width="11.453125" style="54"/>
  </cols>
  <sheetData>
    <row r="1" spans="4:28" ht="3" customHeight="1"/>
    <row r="2" spans="4:28" ht="19.899999999999999" customHeight="1">
      <c r="E2" s="228" t="s">
        <v>212</v>
      </c>
      <c r="F2" s="228"/>
      <c r="G2" s="228"/>
      <c r="H2" s="228"/>
      <c r="I2" s="228"/>
      <c r="J2" s="228"/>
      <c r="K2" s="228"/>
      <c r="L2" s="228"/>
      <c r="M2" s="228"/>
      <c r="N2" s="228"/>
      <c r="O2" s="228"/>
      <c r="P2" s="228"/>
      <c r="Q2" s="228"/>
      <c r="R2" s="228"/>
      <c r="S2" s="228"/>
      <c r="T2" s="228"/>
      <c r="U2" s="228"/>
      <c r="V2" s="228"/>
      <c r="W2" s="228"/>
      <c r="X2" s="228"/>
      <c r="Y2" s="228"/>
      <c r="Z2" s="228"/>
      <c r="AA2" s="228"/>
    </row>
    <row r="3" spans="4:28" ht="7.15" customHeight="1">
      <c r="E3" s="229"/>
      <c r="F3" s="230"/>
      <c r="G3" s="230"/>
      <c r="H3" s="230"/>
      <c r="I3" s="230"/>
      <c r="J3" s="230"/>
      <c r="K3" s="230"/>
      <c r="L3" s="230"/>
      <c r="M3" s="230"/>
      <c r="N3" s="230"/>
      <c r="O3" s="230"/>
      <c r="P3" s="230"/>
      <c r="Q3" s="230"/>
      <c r="R3" s="230"/>
      <c r="S3" s="230"/>
      <c r="T3" s="230"/>
      <c r="U3" s="230"/>
      <c r="V3" s="230"/>
      <c r="W3" s="156"/>
      <c r="X3" s="156"/>
      <c r="Y3" s="156"/>
      <c r="Z3" s="156"/>
      <c r="AA3" s="157"/>
    </row>
    <row r="4" spans="4:28" ht="15">
      <c r="E4" s="225" t="s">
        <v>215</v>
      </c>
      <c r="F4" s="226"/>
      <c r="G4" s="226"/>
      <c r="H4" s="226"/>
      <c r="I4" s="226"/>
      <c r="J4" s="226"/>
      <c r="K4" s="226"/>
      <c r="L4" s="226"/>
      <c r="M4" s="226"/>
      <c r="N4" s="226"/>
      <c r="O4" s="226"/>
      <c r="P4" s="226"/>
      <c r="Q4" s="226"/>
      <c r="R4" s="226"/>
      <c r="S4" s="226"/>
      <c r="T4" s="226"/>
      <c r="U4" s="226"/>
      <c r="V4" s="226"/>
      <c r="W4" s="224">
        <v>2600</v>
      </c>
      <c r="X4" s="224"/>
      <c r="Y4" s="224"/>
      <c r="Z4" s="156"/>
      <c r="AA4" s="157"/>
    </row>
    <row r="5" spans="4:28" ht="13" customHeight="1">
      <c r="E5" s="231" t="s">
        <v>155</v>
      </c>
      <c r="F5" s="232"/>
      <c r="G5" s="232"/>
      <c r="H5" s="232"/>
      <c r="I5" s="232"/>
      <c r="J5" s="232"/>
      <c r="K5" s="232"/>
      <c r="L5" s="232"/>
      <c r="M5" s="232"/>
      <c r="N5" s="232"/>
      <c r="O5" s="232"/>
      <c r="P5" s="232"/>
      <c r="Q5" s="232"/>
      <c r="R5" s="232"/>
      <c r="S5" s="232"/>
      <c r="T5" s="232"/>
      <c r="U5" s="232"/>
      <c r="V5" s="232"/>
      <c r="W5" s="227">
        <v>43.76</v>
      </c>
      <c r="X5" s="227"/>
      <c r="Y5" s="162"/>
      <c r="Z5" s="192"/>
      <c r="AA5" s="179"/>
    </row>
    <row r="6" spans="4:28" ht="13" customHeight="1">
      <c r="E6" s="225" t="s">
        <v>152</v>
      </c>
      <c r="F6" s="226"/>
      <c r="G6" s="226"/>
      <c r="H6" s="226"/>
      <c r="I6" s="226"/>
      <c r="J6" s="226"/>
      <c r="K6" s="226"/>
      <c r="L6" s="226"/>
      <c r="M6" s="226"/>
      <c r="N6" s="226"/>
      <c r="O6" s="226"/>
      <c r="P6" s="226"/>
      <c r="Q6" s="226"/>
      <c r="R6" s="226"/>
      <c r="S6" s="226"/>
      <c r="T6" s="226"/>
      <c r="U6" s="226"/>
      <c r="V6" s="226"/>
      <c r="W6" s="227">
        <v>156810</v>
      </c>
      <c r="X6" s="227"/>
      <c r="Y6" s="162"/>
      <c r="Z6" s="156"/>
      <c r="AA6" s="157"/>
    </row>
    <row r="7" spans="4:28" ht="6" customHeight="1">
      <c r="E7" s="233"/>
      <c r="F7" s="234"/>
      <c r="G7" s="234"/>
      <c r="H7" s="234"/>
      <c r="I7" s="234"/>
      <c r="J7" s="234"/>
      <c r="K7" s="234"/>
      <c r="L7" s="234"/>
      <c r="M7" s="234"/>
      <c r="N7" s="234"/>
      <c r="O7" s="234"/>
      <c r="P7" s="234"/>
      <c r="Q7" s="234"/>
      <c r="R7" s="234"/>
      <c r="S7" s="234"/>
      <c r="T7" s="234"/>
      <c r="U7" s="234"/>
      <c r="V7" s="234"/>
      <c r="W7" s="158"/>
      <c r="X7" s="158"/>
      <c r="Y7" s="158"/>
      <c r="Z7" s="158"/>
      <c r="AA7" s="159"/>
    </row>
    <row r="8" spans="4:28" ht="4.1500000000000004" customHeight="1" thickBot="1">
      <c r="U8" s="59"/>
    </row>
    <row r="9" spans="4:28" ht="20.149999999999999" customHeight="1" thickBot="1">
      <c r="E9" s="213"/>
      <c r="H9" s="203"/>
      <c r="I9" s="203"/>
      <c r="J9" s="203"/>
      <c r="K9" s="203"/>
      <c r="L9" s="203"/>
      <c r="M9" s="203"/>
      <c r="N9" s="204" t="s">
        <v>0</v>
      </c>
      <c r="O9" s="58"/>
      <c r="P9" s="58"/>
      <c r="Q9" s="220"/>
      <c r="R9" s="220"/>
      <c r="S9" s="220"/>
      <c r="T9" s="220"/>
      <c r="U9" s="59"/>
      <c r="V9" s="223" t="str">
        <f>IF(OR(C31=0,MIN(E19:E30)&gt;=MWZP),"","Kwota nie może być mniejsza niż minimalne wynagrodzenie za pracę!")</f>
        <v/>
      </c>
      <c r="W9" s="223"/>
      <c r="X9" s="223"/>
      <c r="Y9" s="223"/>
      <c r="Z9" s="223"/>
      <c r="AA9" s="223"/>
      <c r="AB9" s="223"/>
    </row>
    <row r="10" spans="4:28" ht="20.149999999999999" customHeight="1" thickBot="1">
      <c r="E10" s="216"/>
      <c r="G10" s="213"/>
      <c r="H10" s="203"/>
      <c r="I10" s="203"/>
      <c r="J10" s="203"/>
      <c r="K10" s="203"/>
      <c r="L10" s="203"/>
      <c r="M10" s="203"/>
      <c r="N10" s="205" t="s">
        <v>213</v>
      </c>
      <c r="O10" s="58"/>
      <c r="P10" s="58"/>
      <c r="Q10" s="220" t="s">
        <v>211</v>
      </c>
      <c r="R10" s="220"/>
      <c r="S10" s="220"/>
      <c r="T10" s="220"/>
      <c r="U10" s="221" t="s">
        <v>224</v>
      </c>
      <c r="V10" s="222"/>
      <c r="W10" s="222"/>
      <c r="X10" s="180">
        <f>IF(Q10="tak",250,300)</f>
        <v>250</v>
      </c>
      <c r="Y10" s="57"/>
      <c r="Z10" s="58"/>
      <c r="AA10" s="58"/>
      <c r="AB10" s="57"/>
    </row>
    <row r="11" spans="4:28" s="58" customFormat="1" ht="20.149999999999999" customHeight="1" thickBot="1">
      <c r="E11" s="214"/>
      <c r="F11" s="215"/>
      <c r="G11" s="214"/>
      <c r="H11" s="235" t="s">
        <v>17</v>
      </c>
      <c r="I11" s="235"/>
      <c r="J11" s="235"/>
      <c r="K11" s="235"/>
      <c r="L11" s="235"/>
      <c r="M11" s="235"/>
      <c r="N11" s="236"/>
      <c r="Q11" s="239">
        <v>1.67E-2</v>
      </c>
      <c r="R11" s="240"/>
      <c r="S11" s="240"/>
      <c r="T11" s="241"/>
      <c r="U11" s="59"/>
      <c r="V11" s="59"/>
      <c r="AB11" s="60"/>
    </row>
    <row r="12" spans="4:28" s="58" customFormat="1" ht="20.149999999999999" customHeight="1" thickBot="1">
      <c r="E12" s="214"/>
      <c r="G12" s="217"/>
      <c r="H12" s="237" t="s">
        <v>214</v>
      </c>
      <c r="I12" s="237"/>
      <c r="J12" s="237"/>
      <c r="K12" s="237"/>
      <c r="L12" s="237"/>
      <c r="M12" s="237"/>
      <c r="N12" s="238"/>
      <c r="Q12" s="220" t="s">
        <v>211</v>
      </c>
      <c r="R12" s="220"/>
      <c r="S12" s="220"/>
      <c r="T12" s="220"/>
      <c r="U12" s="59"/>
      <c r="V12" s="208" t="str">
        <f>IF(Q13="tak","pracownik","")</f>
        <v/>
      </c>
      <c r="W12" s="206"/>
      <c r="X12" s="207" t="str">
        <f>IF(Q13="tak","pracodawca","")</f>
        <v/>
      </c>
      <c r="AB12" s="60"/>
    </row>
    <row r="13" spans="4:28" s="58" customFormat="1" ht="20.149999999999999" customHeight="1" thickBot="1">
      <c r="E13" s="215"/>
      <c r="G13" s="218"/>
      <c r="H13" s="237" t="s">
        <v>225</v>
      </c>
      <c r="I13" s="237"/>
      <c r="J13" s="237"/>
      <c r="K13" s="237"/>
      <c r="L13" s="237"/>
      <c r="M13" s="237"/>
      <c r="N13" s="238"/>
      <c r="Q13" s="220" t="s">
        <v>227</v>
      </c>
      <c r="R13" s="220"/>
      <c r="S13" s="220"/>
      <c r="T13" s="220"/>
      <c r="U13" s="208" t="str">
        <f>IF(Q13="tak","Składka PPK","")</f>
        <v/>
      </c>
      <c r="V13" s="219">
        <v>0.02</v>
      </c>
      <c r="X13" s="219">
        <v>1.4999999999999999E-2</v>
      </c>
      <c r="AB13" s="60"/>
    </row>
    <row r="14" spans="4:28" ht="8.15" customHeight="1" thickBot="1"/>
    <row r="15" spans="4:28" s="53" customFormat="1" ht="13.9" customHeight="1">
      <c r="D15" s="242" t="s">
        <v>1</v>
      </c>
      <c r="E15" s="245" t="s">
        <v>2</v>
      </c>
      <c r="F15" s="61"/>
      <c r="G15" s="242" t="s">
        <v>11</v>
      </c>
      <c r="H15" s="242" t="s">
        <v>216</v>
      </c>
      <c r="I15" s="253" t="s">
        <v>9</v>
      </c>
      <c r="J15" s="254"/>
      <c r="K15" s="254"/>
      <c r="L15" s="254"/>
      <c r="M15" s="254"/>
      <c r="N15" s="254"/>
      <c r="O15" s="254"/>
      <c r="P15" s="254"/>
      <c r="Q15" s="254"/>
      <c r="R15" s="254"/>
      <c r="S15" s="254"/>
      <c r="T15" s="255"/>
      <c r="U15" s="250" t="s">
        <v>10</v>
      </c>
      <c r="V15" s="251"/>
      <c r="W15" s="251"/>
      <c r="X15" s="251"/>
      <c r="Y15" s="251"/>
      <c r="Z15" s="251"/>
      <c r="AA15" s="251"/>
      <c r="AB15" s="252"/>
    </row>
    <row r="16" spans="4:28" s="53" customFormat="1" ht="10.5" customHeight="1">
      <c r="D16" s="243"/>
      <c r="E16" s="246"/>
      <c r="F16" s="62"/>
      <c r="G16" s="243"/>
      <c r="H16" s="243"/>
      <c r="I16" s="259" t="s">
        <v>204</v>
      </c>
      <c r="J16" s="248" t="s">
        <v>20</v>
      </c>
      <c r="K16" s="249"/>
      <c r="L16" s="249"/>
      <c r="M16" s="137"/>
      <c r="N16" s="278" t="s">
        <v>14</v>
      </c>
      <c r="O16" s="137"/>
      <c r="P16" s="137"/>
      <c r="Q16" s="137"/>
      <c r="R16" s="137"/>
      <c r="S16" s="263" t="s">
        <v>12</v>
      </c>
      <c r="T16" s="266" t="s">
        <v>3</v>
      </c>
      <c r="U16" s="269" t="s">
        <v>204</v>
      </c>
      <c r="V16" s="282" t="s">
        <v>53</v>
      </c>
      <c r="W16" s="261" t="s">
        <v>22</v>
      </c>
      <c r="X16" s="261" t="s">
        <v>54</v>
      </c>
      <c r="Y16" s="113"/>
      <c r="Z16" s="276" t="s">
        <v>203</v>
      </c>
      <c r="AA16" s="261" t="s">
        <v>151</v>
      </c>
      <c r="AB16" s="256" t="s">
        <v>3</v>
      </c>
    </row>
    <row r="17" spans="2:29" s="53" customFormat="1" ht="16.149999999999999" customHeight="1">
      <c r="D17" s="243"/>
      <c r="E17" s="246"/>
      <c r="F17" s="64" t="s">
        <v>8</v>
      </c>
      <c r="G17" s="243"/>
      <c r="H17" s="243"/>
      <c r="I17" s="260"/>
      <c r="J17" s="138" t="s">
        <v>53</v>
      </c>
      <c r="K17" s="139" t="s">
        <v>22</v>
      </c>
      <c r="L17" s="139" t="s">
        <v>55</v>
      </c>
      <c r="M17" s="154" t="s">
        <v>13</v>
      </c>
      <c r="N17" s="279"/>
      <c r="O17" s="140" t="s">
        <v>15</v>
      </c>
      <c r="P17" s="271" t="s">
        <v>217</v>
      </c>
      <c r="Q17" s="141" t="s">
        <v>16</v>
      </c>
      <c r="R17" s="155"/>
      <c r="S17" s="264"/>
      <c r="T17" s="267"/>
      <c r="U17" s="270"/>
      <c r="V17" s="283"/>
      <c r="W17" s="262"/>
      <c r="X17" s="262"/>
      <c r="Y17" s="147" t="s">
        <v>13</v>
      </c>
      <c r="Z17" s="277"/>
      <c r="AA17" s="262"/>
      <c r="AB17" s="257"/>
    </row>
    <row r="18" spans="2:29" s="66" customFormat="1" ht="11.25" customHeight="1" thickBot="1">
      <c r="D18" s="244"/>
      <c r="E18" s="247"/>
      <c r="F18" s="67"/>
      <c r="G18" s="244"/>
      <c r="H18" s="244"/>
      <c r="I18" s="175">
        <f>IF(Q13="nie",0,PPK_pracownik)</f>
        <v>0</v>
      </c>
      <c r="J18" s="142">
        <v>9.7600000000000006E-2</v>
      </c>
      <c r="K18" s="143">
        <v>1.4999999999999999E-2</v>
      </c>
      <c r="L18" s="143">
        <v>2.4500000000000001E-2</v>
      </c>
      <c r="M18" s="144" t="s">
        <v>18</v>
      </c>
      <c r="N18" s="143">
        <v>0.09</v>
      </c>
      <c r="O18" s="145"/>
      <c r="P18" s="272"/>
      <c r="Q18" s="146"/>
      <c r="R18" s="146"/>
      <c r="S18" s="265"/>
      <c r="T18" s="268"/>
      <c r="U18" s="176">
        <f>IF(Q13="nie",0,PPK_szef)</f>
        <v>0</v>
      </c>
      <c r="V18" s="148">
        <v>9.7600000000000006E-2</v>
      </c>
      <c r="W18" s="149">
        <v>6.5000000000000002E-2</v>
      </c>
      <c r="X18" s="149">
        <f>u_wypadk</f>
        <v>1.67E-2</v>
      </c>
      <c r="Y18" s="150" t="s">
        <v>18</v>
      </c>
      <c r="Z18" s="149">
        <v>2.4500000000000001E-2</v>
      </c>
      <c r="AA18" s="149">
        <v>1E-3</v>
      </c>
      <c r="AB18" s="258"/>
    </row>
    <row r="19" spans="2:29" ht="15" customHeight="1" thickTop="1">
      <c r="B19" s="54">
        <v>1</v>
      </c>
      <c r="C19" s="54">
        <f>IF(E19="",0,1)</f>
        <v>0</v>
      </c>
      <c r="D19" s="151" t="s">
        <v>41</v>
      </c>
      <c r="E19" s="211" t="str">
        <f t="shared" ref="E19:E30" si="0">IF(OR(brutto="",brutto&lt;MWZP),"",brutto)</f>
        <v/>
      </c>
      <c r="F19" s="71">
        <f>SUM($E$19:E19)+SUM($U$19:U19)</f>
        <v>0</v>
      </c>
      <c r="G19" s="172" t="str">
        <f t="shared" ref="G19:G30" si="1">IF(E19="","",E19-M19-N19-S19-I19)</f>
        <v/>
      </c>
      <c r="H19" s="111" t="str">
        <f t="shared" ref="H19:H30" si="2">IF(E19="","",E19+Y19+Z19+AA19+U19)</f>
        <v/>
      </c>
      <c r="I19" s="185" t="str">
        <f t="shared" ref="I19:I30" si="3">IF(E19="","",IF($Q$13="nie",0,ROUND(PPK_pracownik*E19,2)))</f>
        <v/>
      </c>
      <c r="J19" s="82" t="str">
        <f>IF(E19="","",IF(E19&gt;=brak_e_r,emeryt*brak_e_r,ROUND(emeryt*E19,2)))</f>
        <v/>
      </c>
      <c r="K19" s="82" t="str">
        <f>IF(E19="","",IF(E19&gt;=brak_e_r,ROUND(rent*brak_e_r,2),ROUND(rent*E19,2)))</f>
        <v/>
      </c>
      <c r="L19" s="82" t="str">
        <f t="shared" ref="L19:L30" si="4">IF(E19="","",ROUND(chorob*E19,2))</f>
        <v/>
      </c>
      <c r="M19" s="160" t="e">
        <f>ROUND(J19+K19+L19,2)</f>
        <v>#VALUE!</v>
      </c>
      <c r="N19" s="82" t="str">
        <f t="shared" ref="N19:N30" si="5">IF(E19="","",ROUND(zdrow*(E19-M19),2))</f>
        <v/>
      </c>
      <c r="O19" s="178" t="str">
        <f t="shared" ref="O19:O30" si="6">IF(E19="","",ROUND(zdrow_z_podatku*(E19-M19),2))</f>
        <v/>
      </c>
      <c r="P19" s="193" t="e">
        <f t="shared" ref="P19:P30" si="7">ROUND(E19+U19-K_U_P-M19,0)</f>
        <v>#VALUE!</v>
      </c>
      <c r="Q19" s="83">
        <f>IF(E19="",0,IF(F18-SUM($M18:M$19)-K_U_P*B18&lt;=I_prog,1,2))</f>
        <v>0</v>
      </c>
      <c r="R19" s="83" t="str">
        <f>IF(E19="","",ROUND(I_proc*ROUND((E19+U19-M19-K_U_P),0)-kwota_wolna-O19,0))</f>
        <v/>
      </c>
      <c r="S19" s="189" t="str">
        <f>IF(E19="","",IF($Q$12="tak",IF(R19&lt;0,0,R19),IF(SUM($E$19:E19)&lt;I_prog,0,R19)))</f>
        <v/>
      </c>
      <c r="T19" s="186" t="str">
        <f t="shared" ref="T19:T30" si="8">IF(E19="","",J19+K19+L19+N19+S19+I19)</f>
        <v/>
      </c>
      <c r="U19" s="114" t="str">
        <f t="shared" ref="U19:U30" si="9">IF(E19="","",IF($Q$13="nie",0,ROUND(PPK_szef*E19,2)))</f>
        <v/>
      </c>
      <c r="V19" s="115" t="str">
        <f t="shared" ref="V19:V30" si="10">J19</f>
        <v/>
      </c>
      <c r="W19" s="115" t="str">
        <f>IF(E19="","",IF(E19&gt;=brak_e_r,ROUND(rent2*brak_e_r,2),ROUND(rent2*E19,2)))</f>
        <v/>
      </c>
      <c r="X19" s="115" t="str">
        <f t="shared" ref="X19:X30" si="11">IF(E19="","",ROUND(u_wypadk*E19,2))</f>
        <v/>
      </c>
      <c r="Y19" s="161" t="e">
        <f>V19+W19+X19</f>
        <v>#VALUE!</v>
      </c>
      <c r="Z19" s="115" t="str">
        <f t="shared" ref="Z19:Z30" si="12">IF(E19="","",ROUND(F_P*E19,2))</f>
        <v/>
      </c>
      <c r="AA19" s="115" t="str">
        <f t="shared" ref="AA19:AA30" si="13">IF(E19="","",ROUND(F_G_S_P*E19,2))</f>
        <v/>
      </c>
      <c r="AB19" s="135" t="str">
        <f t="shared" ref="AB19:AB30" si="14">IF(E19="","",V19+W19+X19+Z19+AA19+U19)</f>
        <v/>
      </c>
      <c r="AC19" s="74"/>
    </row>
    <row r="20" spans="2:29" ht="15" customHeight="1">
      <c r="B20" s="54">
        <v>2</v>
      </c>
      <c r="C20" s="54">
        <f t="shared" ref="C20:C30" si="15">IF(E20="",0,1)</f>
        <v>0</v>
      </c>
      <c r="D20" s="151" t="s">
        <v>42</v>
      </c>
      <c r="E20" s="212" t="str">
        <f t="shared" si="0"/>
        <v/>
      </c>
      <c r="F20" s="71">
        <f>SUM($E$19:E20)</f>
        <v>0</v>
      </c>
      <c r="G20" s="172" t="str">
        <f t="shared" si="1"/>
        <v/>
      </c>
      <c r="H20" s="111" t="str">
        <f t="shared" si="2"/>
        <v/>
      </c>
      <c r="I20" s="185" t="str">
        <f t="shared" si="3"/>
        <v/>
      </c>
      <c r="J20" s="82" t="str">
        <f t="shared" ref="J20:J30" si="16">IF(E20="","",IF(F20&lt;=brak_e_r,ROUND(emeryt*E20,2),IF(F20&lt;=brak_e_r+E20,ROUND(emeryt*(brak_e_r-F19),2),0)))</f>
        <v/>
      </c>
      <c r="K20" s="82" t="str">
        <f t="shared" ref="K20:K30" si="17">IF(E20="","",IF(F20&lt;=brak_e_r,ROUND(rent*E20,2),IF(F20&lt;=brak_e_r+E20,ROUND(rent*(brak_e_r-F19),2),0)))</f>
        <v/>
      </c>
      <c r="L20" s="82" t="str">
        <f t="shared" si="4"/>
        <v/>
      </c>
      <c r="M20" s="160" t="e">
        <f t="shared" ref="M20:M30" si="18">ROUND(J20+K20+L20,2)</f>
        <v>#VALUE!</v>
      </c>
      <c r="N20" s="82" t="str">
        <f t="shared" si="5"/>
        <v/>
      </c>
      <c r="O20" s="178" t="str">
        <f t="shared" si="6"/>
        <v/>
      </c>
      <c r="P20" s="193" t="e">
        <f t="shared" si="7"/>
        <v>#VALUE!</v>
      </c>
      <c r="Q20" s="83">
        <f>IF(E20="",0,IF(F19-SUM($M$19:M19)-K_U_P*B19&lt;=I_prog,1,2))</f>
        <v>0</v>
      </c>
      <c r="R20" s="83" t="str">
        <f>IF(E20="","",IF(F19-SUM($M$19:M19)-K_U_P*B19&lt;=I_prog,ROUND(I_proc*ROUND((E20+U20-M20-K_U_P),0)-kwota_wolna-O20,0),ROUND(II_proc*ROUND((E20+U20-M20-K_U_P),0)-O20,0)))</f>
        <v/>
      </c>
      <c r="S20" s="189" t="str">
        <f t="shared" ref="S20:S30" si="19">IF(E20="","",IF($Q$12="tak",IF(R20&lt;0,0,R20),IF(F20&lt;I_prog,0,R20)))</f>
        <v/>
      </c>
      <c r="T20" s="186" t="str">
        <f t="shared" si="8"/>
        <v/>
      </c>
      <c r="U20" s="114" t="str">
        <f t="shared" si="9"/>
        <v/>
      </c>
      <c r="V20" s="115" t="str">
        <f t="shared" si="10"/>
        <v/>
      </c>
      <c r="W20" s="115" t="str">
        <f t="shared" ref="W20:W30" si="20">IF(E20="","",IF(F20&lt;=brak_e_r,ROUND(rent2*E20,2),IF(F20&lt;=brak_e_r+E20,ROUND(rent2*(brak_e_r-F19),2),0)))</f>
        <v/>
      </c>
      <c r="X20" s="115" t="str">
        <f t="shared" si="11"/>
        <v/>
      </c>
      <c r="Y20" s="161" t="e">
        <f t="shared" ref="Y20:Y30" si="21">V20+W20+X20</f>
        <v>#VALUE!</v>
      </c>
      <c r="Z20" s="115" t="str">
        <f t="shared" si="12"/>
        <v/>
      </c>
      <c r="AA20" s="115" t="str">
        <f t="shared" si="13"/>
        <v/>
      </c>
      <c r="AB20" s="135" t="str">
        <f t="shared" si="14"/>
        <v/>
      </c>
      <c r="AC20" s="74"/>
    </row>
    <row r="21" spans="2:29" ht="15" customHeight="1">
      <c r="B21" s="54">
        <v>3</v>
      </c>
      <c r="C21" s="54">
        <f t="shared" si="15"/>
        <v>0</v>
      </c>
      <c r="D21" s="151" t="s">
        <v>43</v>
      </c>
      <c r="E21" s="212" t="str">
        <f t="shared" si="0"/>
        <v/>
      </c>
      <c r="F21" s="71">
        <f>SUM($E$19:E21)</f>
        <v>0</v>
      </c>
      <c r="G21" s="172" t="str">
        <f t="shared" si="1"/>
        <v/>
      </c>
      <c r="H21" s="111" t="str">
        <f t="shared" si="2"/>
        <v/>
      </c>
      <c r="I21" s="185" t="str">
        <f t="shared" si="3"/>
        <v/>
      </c>
      <c r="J21" s="82" t="str">
        <f t="shared" si="16"/>
        <v/>
      </c>
      <c r="K21" s="82" t="str">
        <f t="shared" si="17"/>
        <v/>
      </c>
      <c r="L21" s="82" t="str">
        <f t="shared" si="4"/>
        <v/>
      </c>
      <c r="M21" s="160" t="e">
        <f t="shared" si="18"/>
        <v>#VALUE!</v>
      </c>
      <c r="N21" s="82" t="str">
        <f t="shared" si="5"/>
        <v/>
      </c>
      <c r="O21" s="178" t="str">
        <f t="shared" si="6"/>
        <v/>
      </c>
      <c r="P21" s="193" t="e">
        <f t="shared" si="7"/>
        <v>#VALUE!</v>
      </c>
      <c r="Q21" s="83">
        <f>IF(E21="",0,IF(F20-SUM($M$19:M20)-K_U_P*B20&lt;=I_prog,1,2))</f>
        <v>0</v>
      </c>
      <c r="R21" s="83" t="str">
        <f>IF(E21="","",IF(F20-SUM($M$19:M20)-K_U_P*B20&lt;=I_prog,ROUND(I_proc*ROUND((E21+U21-M21-K_U_P),0)-kwota_wolna-O21,0),ROUND(II_proc*ROUND((E21+U21-M21-K_U_P),0)-O21,0)))</f>
        <v/>
      </c>
      <c r="S21" s="189" t="str">
        <f t="shared" si="19"/>
        <v/>
      </c>
      <c r="T21" s="186" t="str">
        <f t="shared" si="8"/>
        <v/>
      </c>
      <c r="U21" s="114" t="str">
        <f t="shared" si="9"/>
        <v/>
      </c>
      <c r="V21" s="115" t="str">
        <f t="shared" si="10"/>
        <v/>
      </c>
      <c r="W21" s="115" t="str">
        <f t="shared" si="20"/>
        <v/>
      </c>
      <c r="X21" s="115" t="str">
        <f t="shared" si="11"/>
        <v/>
      </c>
      <c r="Y21" s="161" t="e">
        <f t="shared" si="21"/>
        <v>#VALUE!</v>
      </c>
      <c r="Z21" s="115" t="str">
        <f t="shared" si="12"/>
        <v/>
      </c>
      <c r="AA21" s="115" t="str">
        <f t="shared" si="13"/>
        <v/>
      </c>
      <c r="AB21" s="135" t="str">
        <f t="shared" si="14"/>
        <v/>
      </c>
      <c r="AC21" s="74"/>
    </row>
    <row r="22" spans="2:29" ht="15" customHeight="1">
      <c r="B22" s="54">
        <v>4</v>
      </c>
      <c r="C22" s="54">
        <f t="shared" si="15"/>
        <v>0</v>
      </c>
      <c r="D22" s="151" t="s">
        <v>44</v>
      </c>
      <c r="E22" s="212" t="str">
        <f t="shared" si="0"/>
        <v/>
      </c>
      <c r="F22" s="71">
        <f>SUM($E$19:E22)</f>
        <v>0</v>
      </c>
      <c r="G22" s="172" t="str">
        <f t="shared" si="1"/>
        <v/>
      </c>
      <c r="H22" s="111" t="str">
        <f t="shared" si="2"/>
        <v/>
      </c>
      <c r="I22" s="185" t="str">
        <f t="shared" si="3"/>
        <v/>
      </c>
      <c r="J22" s="82" t="str">
        <f t="shared" si="16"/>
        <v/>
      </c>
      <c r="K22" s="82" t="str">
        <f t="shared" si="17"/>
        <v/>
      </c>
      <c r="L22" s="82" t="str">
        <f t="shared" si="4"/>
        <v/>
      </c>
      <c r="M22" s="160" t="e">
        <f t="shared" si="18"/>
        <v>#VALUE!</v>
      </c>
      <c r="N22" s="82" t="str">
        <f t="shared" si="5"/>
        <v/>
      </c>
      <c r="O22" s="178" t="str">
        <f t="shared" si="6"/>
        <v/>
      </c>
      <c r="P22" s="193" t="e">
        <f t="shared" si="7"/>
        <v>#VALUE!</v>
      </c>
      <c r="Q22" s="83">
        <f>IF(E22="",0,IF(F21-SUM($M$19:M21)-K_U_P*B21&lt;=I_prog,1,2))</f>
        <v>0</v>
      </c>
      <c r="R22" s="83" t="str">
        <f>IF(E22="","",IF(F21-SUM($M$19:M21)-K_U_P*B21&lt;=I_prog,ROUND(I_proc*ROUND((E22+U22-M22-K_U_P),0)-kwota_wolna-O22,0),ROUND(II_proc*ROUND((E22+U22-M22-K_U_P),0)-O22,0)))</f>
        <v/>
      </c>
      <c r="S22" s="189" t="str">
        <f t="shared" si="19"/>
        <v/>
      </c>
      <c r="T22" s="186" t="str">
        <f t="shared" si="8"/>
        <v/>
      </c>
      <c r="U22" s="114" t="str">
        <f t="shared" si="9"/>
        <v/>
      </c>
      <c r="V22" s="115" t="str">
        <f t="shared" si="10"/>
        <v/>
      </c>
      <c r="W22" s="115" t="str">
        <f t="shared" si="20"/>
        <v/>
      </c>
      <c r="X22" s="115" t="str">
        <f t="shared" si="11"/>
        <v/>
      </c>
      <c r="Y22" s="161" t="e">
        <f t="shared" si="21"/>
        <v>#VALUE!</v>
      </c>
      <c r="Z22" s="115" t="str">
        <f t="shared" si="12"/>
        <v/>
      </c>
      <c r="AA22" s="115" t="str">
        <f t="shared" si="13"/>
        <v/>
      </c>
      <c r="AB22" s="135" t="str">
        <f t="shared" si="14"/>
        <v/>
      </c>
      <c r="AC22" s="74"/>
    </row>
    <row r="23" spans="2:29" ht="15" customHeight="1">
      <c r="B23" s="54">
        <v>5</v>
      </c>
      <c r="C23" s="54">
        <f t="shared" si="15"/>
        <v>0</v>
      </c>
      <c r="D23" s="151" t="s">
        <v>45</v>
      </c>
      <c r="E23" s="212" t="str">
        <f t="shared" si="0"/>
        <v/>
      </c>
      <c r="F23" s="71">
        <f>SUM($E$19:E23)</f>
        <v>0</v>
      </c>
      <c r="G23" s="172" t="str">
        <f t="shared" si="1"/>
        <v/>
      </c>
      <c r="H23" s="111" t="str">
        <f t="shared" si="2"/>
        <v/>
      </c>
      <c r="I23" s="185" t="str">
        <f t="shared" si="3"/>
        <v/>
      </c>
      <c r="J23" s="82" t="str">
        <f t="shared" si="16"/>
        <v/>
      </c>
      <c r="K23" s="82" t="str">
        <f t="shared" si="17"/>
        <v/>
      </c>
      <c r="L23" s="82" t="str">
        <f t="shared" si="4"/>
        <v/>
      </c>
      <c r="M23" s="160" t="e">
        <f t="shared" si="18"/>
        <v>#VALUE!</v>
      </c>
      <c r="N23" s="82" t="str">
        <f t="shared" si="5"/>
        <v/>
      </c>
      <c r="O23" s="178" t="str">
        <f t="shared" si="6"/>
        <v/>
      </c>
      <c r="P23" s="193" t="e">
        <f t="shared" si="7"/>
        <v>#VALUE!</v>
      </c>
      <c r="Q23" s="83">
        <f>IF(E23="",0,IF(F22-SUM($M$19:M22)-K_U_P*B22&lt;=I_prog,1,2))</f>
        <v>0</v>
      </c>
      <c r="R23" s="83" t="str">
        <f>IF(E23="","",IF(F22-SUM($M$19:M22)-K_U_P*B22&lt;=I_prog,ROUND(I_proc*ROUND((E23+U23-M23-K_U_P),0)-kwota_wolna-O23,0),ROUND(II_proc*ROUND((E23+U23-M23-K_U_P),0)-O23,0)))</f>
        <v/>
      </c>
      <c r="S23" s="189" t="str">
        <f t="shared" si="19"/>
        <v/>
      </c>
      <c r="T23" s="186" t="str">
        <f t="shared" si="8"/>
        <v/>
      </c>
      <c r="U23" s="114" t="str">
        <f t="shared" si="9"/>
        <v/>
      </c>
      <c r="V23" s="115" t="str">
        <f t="shared" si="10"/>
        <v/>
      </c>
      <c r="W23" s="115" t="str">
        <f t="shared" si="20"/>
        <v/>
      </c>
      <c r="X23" s="115" t="str">
        <f t="shared" si="11"/>
        <v/>
      </c>
      <c r="Y23" s="161" t="e">
        <f t="shared" si="21"/>
        <v>#VALUE!</v>
      </c>
      <c r="Z23" s="115" t="str">
        <f t="shared" si="12"/>
        <v/>
      </c>
      <c r="AA23" s="115" t="str">
        <f t="shared" si="13"/>
        <v/>
      </c>
      <c r="AB23" s="135" t="str">
        <f t="shared" si="14"/>
        <v/>
      </c>
      <c r="AC23" s="74"/>
    </row>
    <row r="24" spans="2:29" ht="15" customHeight="1">
      <c r="B24" s="54">
        <v>6</v>
      </c>
      <c r="C24" s="54">
        <f t="shared" si="15"/>
        <v>0</v>
      </c>
      <c r="D24" s="151" t="s">
        <v>46</v>
      </c>
      <c r="E24" s="212" t="str">
        <f t="shared" si="0"/>
        <v/>
      </c>
      <c r="F24" s="71">
        <f>SUM($E$19:E24)</f>
        <v>0</v>
      </c>
      <c r="G24" s="172" t="str">
        <f t="shared" si="1"/>
        <v/>
      </c>
      <c r="H24" s="111" t="str">
        <f t="shared" si="2"/>
        <v/>
      </c>
      <c r="I24" s="185" t="str">
        <f t="shared" si="3"/>
        <v/>
      </c>
      <c r="J24" s="82" t="str">
        <f t="shared" si="16"/>
        <v/>
      </c>
      <c r="K24" s="82" t="str">
        <f t="shared" si="17"/>
        <v/>
      </c>
      <c r="L24" s="82" t="str">
        <f t="shared" si="4"/>
        <v/>
      </c>
      <c r="M24" s="160" t="e">
        <f t="shared" si="18"/>
        <v>#VALUE!</v>
      </c>
      <c r="N24" s="82" t="str">
        <f t="shared" si="5"/>
        <v/>
      </c>
      <c r="O24" s="178" t="str">
        <f t="shared" si="6"/>
        <v/>
      </c>
      <c r="P24" s="193" t="e">
        <f t="shared" si="7"/>
        <v>#VALUE!</v>
      </c>
      <c r="Q24" s="83">
        <f>IF(E24="",0,IF(F23-SUM($M$19:M23)-K_U_P*B23&lt;=I_prog,1,2))</f>
        <v>0</v>
      </c>
      <c r="R24" s="83" t="str">
        <f>IF(E24="","",IF(F23-SUM($M$19:M23)-K_U_P*B23&lt;=I_prog,ROUND(I_proc*ROUND((E24+U24-M24-K_U_P),0)-kwota_wolna-O24,0),ROUND(II_proc*ROUND((E24+U24-M24-K_U_P),0)-O24,0)))</f>
        <v/>
      </c>
      <c r="S24" s="189" t="str">
        <f t="shared" si="19"/>
        <v/>
      </c>
      <c r="T24" s="186" t="str">
        <f t="shared" si="8"/>
        <v/>
      </c>
      <c r="U24" s="114" t="str">
        <f t="shared" si="9"/>
        <v/>
      </c>
      <c r="V24" s="115" t="str">
        <f t="shared" si="10"/>
        <v/>
      </c>
      <c r="W24" s="115" t="str">
        <f t="shared" si="20"/>
        <v/>
      </c>
      <c r="X24" s="115" t="str">
        <f t="shared" si="11"/>
        <v/>
      </c>
      <c r="Y24" s="161" t="e">
        <f t="shared" si="21"/>
        <v>#VALUE!</v>
      </c>
      <c r="Z24" s="115" t="str">
        <f t="shared" si="12"/>
        <v/>
      </c>
      <c r="AA24" s="115" t="str">
        <f t="shared" si="13"/>
        <v/>
      </c>
      <c r="AB24" s="135" t="str">
        <f t="shared" si="14"/>
        <v/>
      </c>
      <c r="AC24" s="74"/>
    </row>
    <row r="25" spans="2:29" ht="15" customHeight="1">
      <c r="B25" s="54">
        <v>7</v>
      </c>
      <c r="C25" s="54">
        <f t="shared" si="15"/>
        <v>0</v>
      </c>
      <c r="D25" s="151" t="s">
        <v>47</v>
      </c>
      <c r="E25" s="212" t="str">
        <f t="shared" si="0"/>
        <v/>
      </c>
      <c r="F25" s="71">
        <f>SUM($E$19:E25)</f>
        <v>0</v>
      </c>
      <c r="G25" s="172" t="str">
        <f t="shared" si="1"/>
        <v/>
      </c>
      <c r="H25" s="111" t="str">
        <f t="shared" si="2"/>
        <v/>
      </c>
      <c r="I25" s="185" t="str">
        <f t="shared" si="3"/>
        <v/>
      </c>
      <c r="J25" s="82" t="str">
        <f t="shared" si="16"/>
        <v/>
      </c>
      <c r="K25" s="82" t="str">
        <f t="shared" si="17"/>
        <v/>
      </c>
      <c r="L25" s="82" t="str">
        <f t="shared" si="4"/>
        <v/>
      </c>
      <c r="M25" s="160" t="e">
        <f t="shared" si="18"/>
        <v>#VALUE!</v>
      </c>
      <c r="N25" s="82" t="str">
        <f t="shared" si="5"/>
        <v/>
      </c>
      <c r="O25" s="178" t="str">
        <f t="shared" si="6"/>
        <v/>
      </c>
      <c r="P25" s="193" t="e">
        <f t="shared" si="7"/>
        <v>#VALUE!</v>
      </c>
      <c r="Q25" s="83">
        <f>IF(E25="",0,IF(F24-SUM($M$19:M24)-K_U_P*B24&lt;=I_prog,1,2))</f>
        <v>0</v>
      </c>
      <c r="R25" s="83" t="str">
        <f>IF(E25="","",IF(F24-SUM($M$19:M24)-K_U_P*B24&lt;=I_prog,ROUND(I_proc*ROUND((E25+U25-M25-K_U_P),0)-kwota_wolna-O25,0),ROUND(II_proc*ROUND((E25+U25-M25-K_U_P),0)-O25,0)))</f>
        <v/>
      </c>
      <c r="S25" s="189" t="str">
        <f t="shared" si="19"/>
        <v/>
      </c>
      <c r="T25" s="186" t="str">
        <f t="shared" si="8"/>
        <v/>
      </c>
      <c r="U25" s="114" t="str">
        <f t="shared" si="9"/>
        <v/>
      </c>
      <c r="V25" s="115" t="str">
        <f t="shared" si="10"/>
        <v/>
      </c>
      <c r="W25" s="115" t="str">
        <f t="shared" si="20"/>
        <v/>
      </c>
      <c r="X25" s="115" t="str">
        <f t="shared" si="11"/>
        <v/>
      </c>
      <c r="Y25" s="161" t="e">
        <f t="shared" si="21"/>
        <v>#VALUE!</v>
      </c>
      <c r="Z25" s="115" t="str">
        <f t="shared" si="12"/>
        <v/>
      </c>
      <c r="AA25" s="115" t="str">
        <f t="shared" si="13"/>
        <v/>
      </c>
      <c r="AB25" s="135" t="str">
        <f t="shared" si="14"/>
        <v/>
      </c>
      <c r="AC25" s="74"/>
    </row>
    <row r="26" spans="2:29" ht="15" customHeight="1">
      <c r="B26" s="54">
        <v>8</v>
      </c>
      <c r="C26" s="54">
        <f t="shared" si="15"/>
        <v>0</v>
      </c>
      <c r="D26" s="151" t="s">
        <v>48</v>
      </c>
      <c r="E26" s="212" t="str">
        <f t="shared" si="0"/>
        <v/>
      </c>
      <c r="F26" s="71">
        <f>SUM($E$19:E26)</f>
        <v>0</v>
      </c>
      <c r="G26" s="172" t="str">
        <f t="shared" si="1"/>
        <v/>
      </c>
      <c r="H26" s="111" t="str">
        <f t="shared" si="2"/>
        <v/>
      </c>
      <c r="I26" s="185" t="str">
        <f t="shared" si="3"/>
        <v/>
      </c>
      <c r="J26" s="82" t="str">
        <f t="shared" si="16"/>
        <v/>
      </c>
      <c r="K26" s="82" t="str">
        <f t="shared" si="17"/>
        <v/>
      </c>
      <c r="L26" s="82" t="str">
        <f t="shared" si="4"/>
        <v/>
      </c>
      <c r="M26" s="160" t="e">
        <f t="shared" si="18"/>
        <v>#VALUE!</v>
      </c>
      <c r="N26" s="82" t="str">
        <f t="shared" si="5"/>
        <v/>
      </c>
      <c r="O26" s="178" t="str">
        <f t="shared" si="6"/>
        <v/>
      </c>
      <c r="P26" s="193" t="e">
        <f t="shared" si="7"/>
        <v>#VALUE!</v>
      </c>
      <c r="Q26" s="83">
        <f>IF(E26="",0,IF(F25-SUM($M$19:M25)-K_U_P*B25&lt;=I_prog,1,2))</f>
        <v>0</v>
      </c>
      <c r="R26" s="83" t="str">
        <f>IF(E26="","",IF(F25-SUM($M$19:M25)-K_U_P*B25&lt;=I_prog,ROUND(I_proc*ROUND((E26+U26-M26-K_U_P),0)-kwota_wolna-O26,0),ROUND(II_proc*ROUND((E26+U26-M26-K_U_P),0)-O26,0)))</f>
        <v/>
      </c>
      <c r="S26" s="189" t="str">
        <f t="shared" si="19"/>
        <v/>
      </c>
      <c r="T26" s="186" t="str">
        <f t="shared" si="8"/>
        <v/>
      </c>
      <c r="U26" s="114" t="str">
        <f t="shared" si="9"/>
        <v/>
      </c>
      <c r="V26" s="115" t="str">
        <f t="shared" si="10"/>
        <v/>
      </c>
      <c r="W26" s="115" t="str">
        <f t="shared" si="20"/>
        <v/>
      </c>
      <c r="X26" s="115" t="str">
        <f t="shared" si="11"/>
        <v/>
      </c>
      <c r="Y26" s="161" t="e">
        <f t="shared" si="21"/>
        <v>#VALUE!</v>
      </c>
      <c r="Z26" s="115" t="str">
        <f t="shared" si="12"/>
        <v/>
      </c>
      <c r="AA26" s="115" t="str">
        <f t="shared" si="13"/>
        <v/>
      </c>
      <c r="AB26" s="135" t="str">
        <f t="shared" si="14"/>
        <v/>
      </c>
      <c r="AC26" s="74"/>
    </row>
    <row r="27" spans="2:29" ht="15" customHeight="1">
      <c r="B27" s="54">
        <v>9</v>
      </c>
      <c r="C27" s="54">
        <f t="shared" si="15"/>
        <v>0</v>
      </c>
      <c r="D27" s="151" t="s">
        <v>49</v>
      </c>
      <c r="E27" s="212" t="str">
        <f t="shared" si="0"/>
        <v/>
      </c>
      <c r="F27" s="71">
        <f>SUM($E$19:E27)</f>
        <v>0</v>
      </c>
      <c r="G27" s="172" t="str">
        <f t="shared" si="1"/>
        <v/>
      </c>
      <c r="H27" s="111" t="str">
        <f t="shared" si="2"/>
        <v/>
      </c>
      <c r="I27" s="185" t="str">
        <f t="shared" si="3"/>
        <v/>
      </c>
      <c r="J27" s="82" t="str">
        <f t="shared" si="16"/>
        <v/>
      </c>
      <c r="K27" s="82" t="str">
        <f t="shared" si="17"/>
        <v/>
      </c>
      <c r="L27" s="82" t="str">
        <f t="shared" si="4"/>
        <v/>
      </c>
      <c r="M27" s="160" t="e">
        <f t="shared" si="18"/>
        <v>#VALUE!</v>
      </c>
      <c r="N27" s="82" t="str">
        <f t="shared" si="5"/>
        <v/>
      </c>
      <c r="O27" s="178" t="str">
        <f t="shared" si="6"/>
        <v/>
      </c>
      <c r="P27" s="193" t="e">
        <f t="shared" si="7"/>
        <v>#VALUE!</v>
      </c>
      <c r="Q27" s="83">
        <f>IF(E27="",0,IF(F26-SUM($M$19:M26)-K_U_P*B26&lt;=I_prog,1,2))</f>
        <v>0</v>
      </c>
      <c r="R27" s="83" t="str">
        <f>IF(E27="","",IF(F26-SUM($M$19:M26)-K_U_P*B26&lt;=I_prog,ROUND(I_proc*ROUND((E27+U27-M27-K_U_P),0)-kwota_wolna-O27,0),ROUND(II_proc*ROUND((E27+U27-M27-K_U_P),0)-O27,0)))</f>
        <v/>
      </c>
      <c r="S27" s="189" t="str">
        <f t="shared" si="19"/>
        <v/>
      </c>
      <c r="T27" s="186" t="str">
        <f t="shared" si="8"/>
        <v/>
      </c>
      <c r="U27" s="114" t="str">
        <f t="shared" si="9"/>
        <v/>
      </c>
      <c r="V27" s="115" t="str">
        <f t="shared" si="10"/>
        <v/>
      </c>
      <c r="W27" s="115" t="str">
        <f t="shared" si="20"/>
        <v/>
      </c>
      <c r="X27" s="115" t="str">
        <f t="shared" si="11"/>
        <v/>
      </c>
      <c r="Y27" s="161" t="e">
        <f t="shared" si="21"/>
        <v>#VALUE!</v>
      </c>
      <c r="Z27" s="115" t="str">
        <f t="shared" si="12"/>
        <v/>
      </c>
      <c r="AA27" s="115" t="str">
        <f t="shared" si="13"/>
        <v/>
      </c>
      <c r="AB27" s="135" t="str">
        <f t="shared" si="14"/>
        <v/>
      </c>
      <c r="AC27" s="74"/>
    </row>
    <row r="28" spans="2:29" ht="15" customHeight="1">
      <c r="B28" s="54">
        <v>10</v>
      </c>
      <c r="C28" s="54">
        <f t="shared" si="15"/>
        <v>0</v>
      </c>
      <c r="D28" s="151" t="s">
        <v>50</v>
      </c>
      <c r="E28" s="212" t="str">
        <f t="shared" si="0"/>
        <v/>
      </c>
      <c r="F28" s="71">
        <f>SUM($E$19:E28)</f>
        <v>0</v>
      </c>
      <c r="G28" s="172" t="str">
        <f t="shared" si="1"/>
        <v/>
      </c>
      <c r="H28" s="111" t="str">
        <f t="shared" si="2"/>
        <v/>
      </c>
      <c r="I28" s="185" t="str">
        <f t="shared" si="3"/>
        <v/>
      </c>
      <c r="J28" s="82" t="str">
        <f t="shared" si="16"/>
        <v/>
      </c>
      <c r="K28" s="82" t="str">
        <f t="shared" si="17"/>
        <v/>
      </c>
      <c r="L28" s="82" t="str">
        <f t="shared" si="4"/>
        <v/>
      </c>
      <c r="M28" s="160" t="e">
        <f t="shared" si="18"/>
        <v>#VALUE!</v>
      </c>
      <c r="N28" s="82" t="str">
        <f t="shared" si="5"/>
        <v/>
      </c>
      <c r="O28" s="178" t="str">
        <f t="shared" si="6"/>
        <v/>
      </c>
      <c r="P28" s="193" t="e">
        <f t="shared" si="7"/>
        <v>#VALUE!</v>
      </c>
      <c r="Q28" s="83">
        <f>IF(E28="",0,IF(F27-SUM($M$19:M27)-K_U_P*B27&lt;=I_prog,1,2))</f>
        <v>0</v>
      </c>
      <c r="R28" s="83" t="str">
        <f>IF(E28="","",IF(F27-SUM($M$19:M27)-K_U_P*B27&lt;=I_prog,ROUND(I_proc*ROUND((E28+U28-M28-K_U_P),0)-kwota_wolna-O28,0),ROUND(II_proc*ROUND((E28+U28-M28-K_U_P),0)-O28,0)))</f>
        <v/>
      </c>
      <c r="S28" s="189" t="str">
        <f t="shared" si="19"/>
        <v/>
      </c>
      <c r="T28" s="186" t="str">
        <f t="shared" si="8"/>
        <v/>
      </c>
      <c r="U28" s="114" t="str">
        <f t="shared" si="9"/>
        <v/>
      </c>
      <c r="V28" s="115" t="str">
        <f t="shared" si="10"/>
        <v/>
      </c>
      <c r="W28" s="115" t="str">
        <f t="shared" si="20"/>
        <v/>
      </c>
      <c r="X28" s="115" t="str">
        <f t="shared" si="11"/>
        <v/>
      </c>
      <c r="Y28" s="161" t="e">
        <f t="shared" si="21"/>
        <v>#VALUE!</v>
      </c>
      <c r="Z28" s="115" t="str">
        <f t="shared" si="12"/>
        <v/>
      </c>
      <c r="AA28" s="115" t="str">
        <f t="shared" si="13"/>
        <v/>
      </c>
      <c r="AB28" s="135" t="str">
        <f t="shared" si="14"/>
        <v/>
      </c>
      <c r="AC28" s="74"/>
    </row>
    <row r="29" spans="2:29" ht="15" customHeight="1">
      <c r="B29" s="54">
        <v>11</v>
      </c>
      <c r="C29" s="54">
        <f t="shared" si="15"/>
        <v>0</v>
      </c>
      <c r="D29" s="151" t="s">
        <v>51</v>
      </c>
      <c r="E29" s="212" t="str">
        <f t="shared" si="0"/>
        <v/>
      </c>
      <c r="F29" s="71">
        <f>SUM($E$19:E29)</f>
        <v>0</v>
      </c>
      <c r="G29" s="172" t="str">
        <f t="shared" si="1"/>
        <v/>
      </c>
      <c r="H29" s="111" t="str">
        <f t="shared" si="2"/>
        <v/>
      </c>
      <c r="I29" s="185" t="str">
        <f t="shared" si="3"/>
        <v/>
      </c>
      <c r="J29" s="82" t="str">
        <f t="shared" si="16"/>
        <v/>
      </c>
      <c r="K29" s="82" t="str">
        <f t="shared" si="17"/>
        <v/>
      </c>
      <c r="L29" s="82" t="str">
        <f t="shared" si="4"/>
        <v/>
      </c>
      <c r="M29" s="160" t="e">
        <f t="shared" si="18"/>
        <v>#VALUE!</v>
      </c>
      <c r="N29" s="82" t="str">
        <f t="shared" si="5"/>
        <v/>
      </c>
      <c r="O29" s="178" t="str">
        <f t="shared" si="6"/>
        <v/>
      </c>
      <c r="P29" s="193" t="e">
        <f t="shared" si="7"/>
        <v>#VALUE!</v>
      </c>
      <c r="Q29" s="83">
        <f>IF(E29="",0,IF(F28-SUM($M$19:M28)-K_U_P*B28&lt;=I_prog,1,2))</f>
        <v>0</v>
      </c>
      <c r="R29" s="83" t="str">
        <f>IF(E29="","",IF(F28-SUM($M$19:M28)-K_U_P*B28&lt;=I_prog,ROUND(I_proc*ROUND((E29+U29-M29-K_U_P),0)-kwota_wolna-O29,0),ROUND(II_proc*ROUND((E29+U29-M29-K_U_P),0)-O29,0)))</f>
        <v/>
      </c>
      <c r="S29" s="189" t="str">
        <f t="shared" si="19"/>
        <v/>
      </c>
      <c r="T29" s="186" t="str">
        <f t="shared" si="8"/>
        <v/>
      </c>
      <c r="U29" s="114" t="str">
        <f t="shared" si="9"/>
        <v/>
      </c>
      <c r="V29" s="115" t="str">
        <f t="shared" si="10"/>
        <v/>
      </c>
      <c r="W29" s="115" t="str">
        <f t="shared" si="20"/>
        <v/>
      </c>
      <c r="X29" s="115" t="str">
        <f t="shared" si="11"/>
        <v/>
      </c>
      <c r="Y29" s="161" t="e">
        <f t="shared" si="21"/>
        <v>#VALUE!</v>
      </c>
      <c r="Z29" s="115" t="str">
        <f t="shared" si="12"/>
        <v/>
      </c>
      <c r="AA29" s="115" t="str">
        <f t="shared" si="13"/>
        <v/>
      </c>
      <c r="AB29" s="135" t="str">
        <f t="shared" si="14"/>
        <v/>
      </c>
      <c r="AC29" s="74"/>
    </row>
    <row r="30" spans="2:29" ht="15" customHeight="1" thickBot="1">
      <c r="B30" s="54">
        <v>12</v>
      </c>
      <c r="C30" s="54">
        <f t="shared" si="15"/>
        <v>0</v>
      </c>
      <c r="D30" s="151" t="s">
        <v>52</v>
      </c>
      <c r="E30" s="212" t="str">
        <f t="shared" si="0"/>
        <v/>
      </c>
      <c r="F30" s="75">
        <f>SUM($E$19:E30)</f>
        <v>0</v>
      </c>
      <c r="G30" s="172" t="str">
        <f t="shared" si="1"/>
        <v/>
      </c>
      <c r="H30" s="111" t="str">
        <f t="shared" si="2"/>
        <v/>
      </c>
      <c r="I30" s="185" t="str">
        <f t="shared" si="3"/>
        <v/>
      </c>
      <c r="J30" s="82" t="str">
        <f t="shared" si="16"/>
        <v/>
      </c>
      <c r="K30" s="82" t="str">
        <f t="shared" si="17"/>
        <v/>
      </c>
      <c r="L30" s="82" t="str">
        <f t="shared" si="4"/>
        <v/>
      </c>
      <c r="M30" s="160" t="e">
        <f t="shared" si="18"/>
        <v>#VALUE!</v>
      </c>
      <c r="N30" s="82" t="str">
        <f t="shared" si="5"/>
        <v/>
      </c>
      <c r="O30" s="178" t="str">
        <f t="shared" si="6"/>
        <v/>
      </c>
      <c r="P30" s="193" t="e">
        <f t="shared" si="7"/>
        <v>#VALUE!</v>
      </c>
      <c r="Q30" s="83">
        <f>IF(E30="",0,IF(F29-SUM($M$19:M29)-K_U_P*B29&lt;=I_prog,1,2))</f>
        <v>0</v>
      </c>
      <c r="R30" s="83" t="str">
        <f>IF(E30="","",IF(F29-SUM($M$19:M29)-K_U_P*B29&lt;=I_prog,ROUND(I_proc*ROUND((E30+U30-M30-K_U_P),0)-kwota_wolna-O30,0),ROUND(II_proc*ROUND((E30+U30-M30-K_U_P),0)-O30,0)))</f>
        <v/>
      </c>
      <c r="S30" s="189" t="str">
        <f t="shared" si="19"/>
        <v/>
      </c>
      <c r="T30" s="186" t="str">
        <f t="shared" si="8"/>
        <v/>
      </c>
      <c r="U30" s="114" t="str">
        <f t="shared" si="9"/>
        <v/>
      </c>
      <c r="V30" s="177" t="str">
        <f t="shared" si="10"/>
        <v/>
      </c>
      <c r="W30" s="115" t="str">
        <f t="shared" si="20"/>
        <v/>
      </c>
      <c r="X30" s="115" t="str">
        <f t="shared" si="11"/>
        <v/>
      </c>
      <c r="Y30" s="161" t="e">
        <f t="shared" si="21"/>
        <v>#VALUE!</v>
      </c>
      <c r="Z30" s="115" t="str">
        <f t="shared" si="12"/>
        <v/>
      </c>
      <c r="AA30" s="115" t="str">
        <f t="shared" si="13"/>
        <v/>
      </c>
      <c r="AB30" s="135" t="str">
        <f t="shared" si="14"/>
        <v/>
      </c>
      <c r="AC30" s="74"/>
    </row>
    <row r="31" spans="2:29" s="81" customFormat="1" ht="15" customHeight="1" thickBot="1">
      <c r="B31" s="54"/>
      <c r="C31" s="54">
        <f>SUM(C19:C30)</f>
        <v>0</v>
      </c>
      <c r="D31" s="76" t="s">
        <v>34</v>
      </c>
      <c r="E31" s="168" t="str">
        <f t="shared" ref="E31:AB31" si="22">IF(OR(MIN($E$19:$E$30)&lt;MWZP,$C$31&lt;12),"",SUM(E19:E30))</f>
        <v/>
      </c>
      <c r="F31" s="77" t="str">
        <f t="shared" si="22"/>
        <v/>
      </c>
      <c r="G31" s="110" t="str">
        <f t="shared" si="22"/>
        <v/>
      </c>
      <c r="H31" s="112" t="str">
        <f t="shared" si="22"/>
        <v/>
      </c>
      <c r="I31" s="187" t="str">
        <f t="shared" si="22"/>
        <v/>
      </c>
      <c r="J31" s="84" t="str">
        <f t="shared" si="22"/>
        <v/>
      </c>
      <c r="K31" s="84" t="str">
        <f t="shared" si="22"/>
        <v/>
      </c>
      <c r="L31" s="84" t="str">
        <f t="shared" si="22"/>
        <v/>
      </c>
      <c r="M31" s="85" t="str">
        <f t="shared" si="22"/>
        <v/>
      </c>
      <c r="N31" s="84" t="str">
        <f t="shared" si="22"/>
        <v/>
      </c>
      <c r="O31" s="85" t="str">
        <f t="shared" si="22"/>
        <v/>
      </c>
      <c r="P31" s="86"/>
      <c r="Q31" s="86"/>
      <c r="R31" s="86"/>
      <c r="S31" s="181" t="str">
        <f t="shared" si="22"/>
        <v/>
      </c>
      <c r="T31" s="188" t="str">
        <f t="shared" si="22"/>
        <v/>
      </c>
      <c r="U31" s="116" t="str">
        <f t="shared" si="22"/>
        <v/>
      </c>
      <c r="V31" s="117" t="str">
        <f t="shared" si="22"/>
        <v/>
      </c>
      <c r="W31" s="117" t="str">
        <f t="shared" si="22"/>
        <v/>
      </c>
      <c r="X31" s="117" t="str">
        <f t="shared" si="22"/>
        <v/>
      </c>
      <c r="Y31" s="118" t="str">
        <f t="shared" si="22"/>
        <v/>
      </c>
      <c r="Z31" s="117" t="str">
        <f t="shared" si="22"/>
        <v/>
      </c>
      <c r="AA31" s="117" t="str">
        <f t="shared" si="22"/>
        <v/>
      </c>
      <c r="AB31" s="136" t="str">
        <f t="shared" si="22"/>
        <v/>
      </c>
    </row>
    <row r="32" spans="2:29" ht="6" customHeight="1" thickBot="1"/>
    <row r="33" spans="4:28" s="196" customFormat="1" ht="16" customHeight="1">
      <c r="D33" s="197"/>
      <c r="G33" s="275" t="str">
        <f>IF(E31="","",IF($Q$30&gt;=1,"I próg podatkowy",""))</f>
        <v/>
      </c>
      <c r="H33" s="275"/>
      <c r="N33" s="198" t="s">
        <v>149</v>
      </c>
      <c r="S33" s="280" t="str">
        <f>IF(OR(MIN(E19:E30)&lt;MWZP,$C$31&lt;12),"",(H31-G31)/H31)</f>
        <v/>
      </c>
      <c r="T33" s="281"/>
      <c r="U33" s="199"/>
      <c r="V33" s="200"/>
      <c r="W33" s="201"/>
    </row>
    <row r="34" spans="4:28" s="196" customFormat="1" ht="16" customHeight="1" thickBot="1">
      <c r="D34" s="197"/>
      <c r="G34" s="275" t="str">
        <f>IF(E31="","",IF($Q$30&gt;=2,"II próg podatkowy",""))</f>
        <v/>
      </c>
      <c r="H34" s="275"/>
      <c r="N34" s="202" t="s">
        <v>150</v>
      </c>
      <c r="S34" s="273" t="str">
        <f>IF(OR(MIN(E19:E30)&lt;MWZP,$C$31&lt;12),"",H31/G31)</f>
        <v/>
      </c>
      <c r="T34" s="274"/>
      <c r="U34" s="199"/>
      <c r="V34" s="200"/>
      <c r="W34" s="201"/>
    </row>
    <row r="35" spans="4:28">
      <c r="V35" s="184"/>
      <c r="W35" s="53"/>
      <c r="X35" s="53"/>
      <c r="Y35" s="53"/>
      <c r="Z35" s="182"/>
      <c r="AA35" s="53"/>
      <c r="AB35" s="53"/>
    </row>
    <row r="38" spans="4:28">
      <c r="E38" s="174" t="s">
        <v>202</v>
      </c>
    </row>
    <row r="39" spans="4:28">
      <c r="E39" s="173" t="s">
        <v>153</v>
      </c>
    </row>
  </sheetData>
  <sheetProtection algorithmName="SHA-512" hashValue="jsf8Qx97IVOTcF2nfc0dturbzKY16jEKOE37UerFbIgvBvOk+ik2hw6C4Ltpbq8Le958O4W2t8YmQ3fYZOW5DA==" saltValue="sN0yokiwxQblRPjDzDNPcQ==" spinCount="100000" sheet="1" selectLockedCells="1"/>
  <protectedRanges>
    <protectedRange sqref="W4 J18:N18 V18:W18 Z18:AA18 W5:X6" name="Zakres1"/>
    <protectedRange sqref="Q9:R10 Q12:R13" name="Zakres1_1"/>
  </protectedRanges>
  <mergeCells count="42">
    <mergeCell ref="S34:T34"/>
    <mergeCell ref="G34:H34"/>
    <mergeCell ref="Z16:Z17"/>
    <mergeCell ref="X16:X17"/>
    <mergeCell ref="N16:N17"/>
    <mergeCell ref="G33:H33"/>
    <mergeCell ref="S33:T33"/>
    <mergeCell ref="V16:V17"/>
    <mergeCell ref="D15:D18"/>
    <mergeCell ref="E15:E18"/>
    <mergeCell ref="G15:G18"/>
    <mergeCell ref="J16:L16"/>
    <mergeCell ref="U15:AB15"/>
    <mergeCell ref="I15:T15"/>
    <mergeCell ref="H15:H18"/>
    <mergeCell ref="AB16:AB18"/>
    <mergeCell ref="I16:I17"/>
    <mergeCell ref="AA16:AA17"/>
    <mergeCell ref="S16:S18"/>
    <mergeCell ref="T16:T18"/>
    <mergeCell ref="U16:U17"/>
    <mergeCell ref="W16:W17"/>
    <mergeCell ref="P17:P18"/>
    <mergeCell ref="H11:N11"/>
    <mergeCell ref="H12:N12"/>
    <mergeCell ref="Q12:T12"/>
    <mergeCell ref="Q11:T11"/>
    <mergeCell ref="H13:N13"/>
    <mergeCell ref="Q13:T13"/>
    <mergeCell ref="E2:AA2"/>
    <mergeCell ref="E3:V3"/>
    <mergeCell ref="E5:V5"/>
    <mergeCell ref="E6:V6"/>
    <mergeCell ref="E7:V7"/>
    <mergeCell ref="Q10:T10"/>
    <mergeCell ref="U10:W10"/>
    <mergeCell ref="V9:AB9"/>
    <mergeCell ref="Q9:T9"/>
    <mergeCell ref="W4:Y4"/>
    <mergeCell ref="E4:V4"/>
    <mergeCell ref="W5:X5"/>
    <mergeCell ref="W6:X6"/>
  </mergeCells>
  <phoneticPr fontId="5" type="noConversion"/>
  <conditionalFormatting sqref="D19:D30">
    <cfRule type="expression" dxfId="30" priority="23" stopIfTrue="1">
      <formula>IF(Q19=1,TRUE,FALSE)</formula>
    </cfRule>
    <cfRule type="expression" dxfId="29" priority="24" stopIfTrue="1">
      <formula>IF(Q19=2,TRUE,FALSE)</formula>
    </cfRule>
    <cfRule type="expression" dxfId="28" priority="25" stopIfTrue="1">
      <formula>IF(Q19=3,TRUE,FALSE)</formula>
    </cfRule>
  </conditionalFormatting>
  <conditionalFormatting sqref="G34">
    <cfRule type="expression" dxfId="27" priority="29" stopIfTrue="1">
      <formula>IF(Q30&gt;=2,TRUE,FALSE)</formula>
    </cfRule>
  </conditionalFormatting>
  <conditionalFormatting sqref="G33">
    <cfRule type="expression" dxfId="26" priority="30" stopIfTrue="1">
      <formula>IF(Q30&gt;=1,TRUE,FALSE)</formula>
    </cfRule>
  </conditionalFormatting>
  <conditionalFormatting sqref="H34">
    <cfRule type="expression" dxfId="25" priority="55" stopIfTrue="1">
      <formula>IF(S30&gt;=2,TRUE,FALSE)</formula>
    </cfRule>
  </conditionalFormatting>
  <conditionalFormatting sqref="H33">
    <cfRule type="expression" dxfId="24" priority="57" stopIfTrue="1">
      <formula>IF(S30&gt;=1,TRUE,FALSE)</formula>
    </cfRule>
  </conditionalFormatting>
  <conditionalFormatting sqref="S19:S30">
    <cfRule type="expression" dxfId="23" priority="7" stopIfTrue="1">
      <formula>IF(Q19=1,TRUE,FALSE)</formula>
    </cfRule>
    <cfRule type="expression" dxfId="22" priority="8" stopIfTrue="1">
      <formula>IF(Q19=2,TRUE,FALSE)</formula>
    </cfRule>
    <cfRule type="expression" dxfId="21" priority="9" stopIfTrue="1">
      <formula>IF(Q19=3,TRUE,FALSE)</formula>
    </cfRule>
  </conditionalFormatting>
  <conditionalFormatting sqref="Q19:R30">
    <cfRule type="cellIs" dxfId="20" priority="11" stopIfTrue="1" operator="equal">
      <formula>2</formula>
    </cfRule>
    <cfRule type="cellIs" dxfId="19" priority="12" stopIfTrue="1" operator="equal">
      <formula>3</formula>
    </cfRule>
    <cfRule type="cellIs" dxfId="18" priority="13" stopIfTrue="1" operator="equal">
      <formula>4</formula>
    </cfRule>
  </conditionalFormatting>
  <conditionalFormatting sqref="V13">
    <cfRule type="expression" dxfId="17" priority="2">
      <formula>$Q$13="tak"</formula>
    </cfRule>
  </conditionalFormatting>
  <conditionalFormatting sqref="X13">
    <cfRule type="expression" dxfId="16" priority="1">
      <formula>$Q$13="tak"</formula>
    </cfRule>
  </conditionalFormatting>
  <dataValidations count="4">
    <dataValidation type="list" allowBlank="1" showInputMessage="1" showErrorMessage="1" sqref="Q10:T10 Q12:T13" xr:uid="{00000000-0002-0000-0000-000001000000}">
      <formula1>"Tak, Nie"</formula1>
    </dataValidation>
    <dataValidation allowBlank="1" showInputMessage="1" showErrorMessage="1" promptTitle="Wykaz stóp procentowych " prompt="składek na ubezpieczenie wypadkowe znajdują się w arkuszu stawki wypadkowe." sqref="Q11" xr:uid="{00000000-0002-0000-0000-000000000000}"/>
    <dataValidation type="list" allowBlank="1" showInputMessage="1" showErrorMessage="1" prompt="- minimalna wynosi 2% (przy czym osoby, których dochody nie przekraczają 120% min. wynagrodzenia, mogą obniżyć składkę do 0,5%);_x000a_- maksymalna to 4%" sqref="V13" xr:uid="{2B03CCEF-1D70-446B-BBDC-AAA69E43AF20}">
      <mc:AlternateContent xmlns:x12ac="http://schemas.microsoft.com/office/spreadsheetml/2011/1/ac" xmlns:mc="http://schemas.openxmlformats.org/markup-compatibility/2006">
        <mc:Choice Requires="x12ac">
          <x12ac:list>"0,5%",2%,"2,5%",3%,"3,5%",4%</x12ac:list>
        </mc:Choice>
        <mc:Fallback>
          <formula1>"0,5%,2%,2,5%,3%,3,5%,4%"</formula1>
        </mc:Fallback>
      </mc:AlternateContent>
    </dataValidation>
    <dataValidation type="list" allowBlank="1" showInputMessage="1" showErrorMessage="1" prompt="- minimalna wynosi 1,5%;_x000a_- maksymalna to 4%" sqref="X13" xr:uid="{4EF347C0-74C2-4D89-BFDB-7A1100B73014}">
      <mc:AlternateContent xmlns:x12ac="http://schemas.microsoft.com/office/spreadsheetml/2011/1/ac" xmlns:mc="http://schemas.openxmlformats.org/markup-compatibility/2006">
        <mc:Choice Requires="x12ac">
          <x12ac:list>"1,5%",2%,"2,5%",3%,"3,5%",4%</x12ac:list>
        </mc:Choice>
        <mc:Fallback>
          <formula1>"1,5%,2%,2,5%,3%,3,5%,4%"</formula1>
        </mc:Fallback>
      </mc:AlternateContent>
    </dataValidation>
  </dataValidations>
  <printOptions horizontalCentered="1"/>
  <pageMargins left="0.19685039370078741" right="0.19685039370078741" top="0.39370078740157483" bottom="0.39370078740157483" header="0.51181102362204722" footer="0.51181102362204722"/>
  <pageSetup paperSize="9" scale="81" orientation="landscape" r:id="rId1"/>
  <headerFooter alignWithMargins="0"/>
  <picture r:id="rId2"/>
  <extLst>
    <ext xmlns:x14="http://schemas.microsoft.com/office/spreadsheetml/2009/9/main" uri="{CCE6A557-97BC-4b89-ADB6-D9C93CAAB3DF}">
      <x14:dataValidations xmlns:xm="http://schemas.microsoft.com/office/excel/2006/main" count="1">
        <x14:dataValidation type="decimal" errorStyle="information" operator="greaterThanOrEqual" allowBlank="1" showInputMessage="1" showErrorMessage="1" errorTitle="Uwaga" error="Kwota nie może być niższa niż minimalne wynagrodzenie za pracę." xr:uid="{00000000-0002-0000-0000-000004000000}">
          <x14:formula1>
            <xm:f>zmienne!C9</xm:f>
          </x14:formula1>
          <xm:sqref>Q9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AC93-EA7C-42C1-9180-219EE1A4D1AA}">
  <dimension ref="A1"/>
  <sheetViews>
    <sheetView showGridLines="0" workbookViewId="0"/>
  </sheetViews>
  <sheetFormatPr defaultRowHeight="12.5"/>
  <sheetData/>
  <sheetProtection algorithmName="SHA-512" hashValue="0UZNz3eXwdnzWZr3Zda2BcISO+V6XyCCuPeljZZ7z6jAvlRdxAskaH33YMXMXibBvoG0ETc7wElUOaB08yLUGA==" saltValue="IrHh2ecp94xOQOPVVOQNzw==" spinCount="100000" sheet="1" objects="1" scenarios="1" select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showRowColHeaders="0" workbookViewId="0">
      <selection activeCell="A2" sqref="A2"/>
    </sheetView>
  </sheetViews>
  <sheetFormatPr defaultRowHeight="12.5"/>
  <sheetData/>
  <sheetProtection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AH161"/>
  <sheetViews>
    <sheetView showGridLines="0" topLeftCell="A4" zoomScale="90" zoomScaleNormal="90" workbookViewId="0">
      <selection activeCell="G28" sqref="G28:H28"/>
    </sheetView>
  </sheetViews>
  <sheetFormatPr defaultColWidth="11.453125" defaultRowHeight="12.5"/>
  <cols>
    <col min="1" max="1" width="2" style="2" customWidth="1"/>
    <col min="2" max="2" width="5" style="2" hidden="1" customWidth="1"/>
    <col min="3" max="3" width="9.7265625" style="1" hidden="1" customWidth="1"/>
    <col min="4" max="4" width="12" style="2" hidden="1" customWidth="1"/>
    <col min="5" max="5" width="11.7265625" style="2" hidden="1" customWidth="1"/>
    <col min="6" max="6" width="9.7265625" style="2" hidden="1" customWidth="1"/>
    <col min="7" max="7" width="9.54296875" style="2" hidden="1" customWidth="1"/>
    <col min="8" max="8" width="24.54296875" style="2" customWidth="1"/>
    <col min="9" max="9" width="7.81640625" style="2" hidden="1" customWidth="1"/>
    <col min="10" max="11" width="8.7265625" style="2" hidden="1" customWidth="1"/>
    <col min="12" max="12" width="13.26953125" style="2" hidden="1" customWidth="1"/>
    <col min="13" max="13" width="15.81640625" style="2" customWidth="1"/>
    <col min="14" max="14" width="10.54296875" style="2" hidden="1" customWidth="1"/>
    <col min="15" max="15" width="11.26953125" style="2" hidden="1" customWidth="1"/>
    <col min="16" max="16" width="20.54296875" style="2" hidden="1" customWidth="1"/>
    <col min="17" max="17" width="23.81640625" style="2" customWidth="1"/>
    <col min="18" max="18" width="0.54296875" style="3" hidden="1" customWidth="1"/>
    <col min="19" max="19" width="1.54296875" style="2" hidden="1" customWidth="1"/>
    <col min="20" max="20" width="3.7265625" style="2" customWidth="1"/>
    <col min="21" max="21" width="13.1796875" style="2" customWidth="1"/>
    <col min="22" max="22" width="3.26953125" style="2" hidden="1" customWidth="1"/>
    <col min="23" max="23" width="2" style="2" hidden="1" customWidth="1"/>
    <col min="24" max="24" width="10.26953125" style="2" hidden="1" customWidth="1"/>
    <col min="25" max="25" width="7.7265625" style="2" hidden="1" customWidth="1"/>
    <col min="26" max="26" width="12.81640625" style="2" hidden="1" customWidth="1"/>
    <col min="27" max="27" width="7.453125" style="2" hidden="1" customWidth="1"/>
    <col min="28" max="28" width="7.54296875" style="2" hidden="1" customWidth="1"/>
    <col min="29" max="29" width="9" style="2" hidden="1" customWidth="1"/>
    <col min="30" max="31" width="5.453125" style="2" hidden="1" customWidth="1"/>
    <col min="32" max="32" width="11.453125" style="2" hidden="1" customWidth="1"/>
    <col min="33" max="33" width="10.453125" style="2" hidden="1" customWidth="1"/>
    <col min="34" max="34" width="0" style="2" hidden="1" customWidth="1"/>
    <col min="35" max="16384" width="11.453125" style="2"/>
  </cols>
  <sheetData>
    <row r="1" spans="2:34" ht="2.5" hidden="1" customHeight="1">
      <c r="H1" s="165"/>
      <c r="I1" s="166"/>
      <c r="J1" s="166"/>
      <c r="K1" s="166"/>
      <c r="L1" s="166"/>
      <c r="M1" s="166"/>
      <c r="N1" s="166"/>
      <c r="O1" s="166"/>
      <c r="P1" s="166"/>
      <c r="Q1" s="166"/>
      <c r="R1" s="166"/>
      <c r="S1" s="166"/>
      <c r="T1" s="166"/>
      <c r="U1" s="119"/>
      <c r="V1" s="119"/>
      <c r="W1" s="120"/>
    </row>
    <row r="2" spans="2:34" ht="15.65" hidden="1" customHeight="1">
      <c r="G2" s="288" t="s">
        <v>24</v>
      </c>
      <c r="H2" s="289"/>
      <c r="I2" s="289"/>
      <c r="J2" s="289"/>
      <c r="K2" s="289"/>
      <c r="L2" s="289"/>
      <c r="M2" s="289"/>
      <c r="N2" s="289"/>
      <c r="O2" s="289"/>
      <c r="P2" s="289"/>
      <c r="Q2" s="289"/>
      <c r="R2" s="289"/>
      <c r="S2" s="290"/>
      <c r="T2" s="286">
        <f>'umowa o pracę'!W5</f>
        <v>43.76</v>
      </c>
      <c r="U2" s="287"/>
      <c r="V2" s="56"/>
      <c r="W2" s="54"/>
    </row>
    <row r="3" spans="2:34" ht="15" hidden="1" thickBot="1">
      <c r="G3" s="288" t="s">
        <v>25</v>
      </c>
      <c r="H3" s="289"/>
      <c r="I3" s="289"/>
      <c r="J3" s="289"/>
      <c r="K3" s="289"/>
      <c r="L3" s="289"/>
      <c r="M3" s="289"/>
      <c r="N3" s="289"/>
      <c r="O3" s="289"/>
      <c r="P3" s="289"/>
      <c r="Q3" s="289"/>
      <c r="R3" s="289"/>
      <c r="S3" s="290"/>
      <c r="T3" s="284">
        <f>'umowa o pracę'!W6</f>
        <v>156810</v>
      </c>
      <c r="U3" s="285"/>
      <c r="V3" s="56"/>
      <c r="W3" s="54"/>
    </row>
    <row r="4" spans="2:34" ht="13.5" thickBot="1">
      <c r="G4" s="54"/>
      <c r="H4" s="54"/>
      <c r="I4" s="54"/>
      <c r="J4" s="54"/>
      <c r="K4" s="54"/>
      <c r="L4" s="54"/>
      <c r="M4" s="54"/>
      <c r="N4" s="54"/>
      <c r="O4" s="54"/>
      <c r="P4" s="54"/>
      <c r="Q4" s="54"/>
      <c r="R4" s="55"/>
      <c r="S4" s="54"/>
      <c r="T4" s="54"/>
      <c r="U4" s="54"/>
      <c r="V4" s="54"/>
      <c r="W4" s="54"/>
    </row>
    <row r="5" spans="2:34" ht="21" customHeight="1" thickTop="1" thickBot="1">
      <c r="G5" s="54"/>
      <c r="H5" s="54"/>
      <c r="I5" s="54"/>
      <c r="J5" s="54"/>
      <c r="K5" s="54"/>
      <c r="L5" s="54"/>
      <c r="M5" s="87" t="s">
        <v>28</v>
      </c>
      <c r="N5" s="54"/>
      <c r="O5" s="54"/>
      <c r="P5" s="291">
        <v>15000</v>
      </c>
      <c r="Q5" s="292"/>
      <c r="R5" s="88"/>
      <c r="S5" s="163" t="str">
        <f>IF(OR(netto="",netto=0),"",IF(netto&gt;=MWZPN,"","Kwota nie może być mniejsza niż minimalne wynagrodzenie za pracę!"))</f>
        <v/>
      </c>
      <c r="T5" s="164"/>
      <c r="U5" s="164"/>
      <c r="V5" s="164"/>
      <c r="W5" s="164"/>
      <c r="X5" s="45" t="str">
        <f>IF(netto="","",IF(netto&gt;=MWZPN,"","Kwota nie może być mniejsza niż minimalne wynagrodzenie za pracę!"))</f>
        <v/>
      </c>
      <c r="AH5" s="167"/>
    </row>
    <row r="6" spans="2:34" ht="15.75" customHeight="1" thickTop="1" thickBot="1">
      <c r="G6" s="54"/>
      <c r="H6" s="54"/>
      <c r="I6" s="54"/>
      <c r="J6" s="54"/>
      <c r="K6" s="54"/>
      <c r="L6" s="54"/>
      <c r="M6" s="54"/>
      <c r="N6" s="54"/>
      <c r="O6" s="54"/>
      <c r="P6" s="54"/>
      <c r="Q6" s="191"/>
      <c r="R6" s="55"/>
      <c r="S6" s="54"/>
      <c r="T6" s="54"/>
      <c r="U6" s="54"/>
      <c r="V6" s="54"/>
      <c r="W6" s="54"/>
    </row>
    <row r="7" spans="2:34" s="1" customFormat="1" ht="19.5" customHeight="1">
      <c r="G7" s="53"/>
      <c r="H7" s="53"/>
      <c r="I7" s="253" t="s">
        <v>9</v>
      </c>
      <c r="J7" s="254"/>
      <c r="K7" s="254"/>
      <c r="L7" s="255"/>
      <c r="M7" s="296" t="s">
        <v>1</v>
      </c>
      <c r="N7" s="299" t="s">
        <v>11</v>
      </c>
      <c r="O7" s="308" t="s">
        <v>35</v>
      </c>
      <c r="P7" s="305" t="s">
        <v>2</v>
      </c>
      <c r="Q7" s="302" t="s">
        <v>2</v>
      </c>
      <c r="R7" s="53"/>
      <c r="S7" s="53"/>
      <c r="T7" s="53"/>
      <c r="U7" s="53"/>
      <c r="V7" s="53"/>
      <c r="W7" s="53"/>
      <c r="X7" s="46"/>
      <c r="Y7" s="46"/>
      <c r="Z7" s="46"/>
      <c r="AA7" s="46"/>
      <c r="AB7" s="46"/>
      <c r="AC7" s="46"/>
      <c r="AD7" s="46"/>
      <c r="AE7" s="46"/>
      <c r="AF7" s="46"/>
      <c r="AG7" s="47"/>
    </row>
    <row r="8" spans="2:34" s="1" customFormat="1" ht="10.5" customHeight="1">
      <c r="G8" s="53"/>
      <c r="H8" s="53"/>
      <c r="I8" s="89" t="s">
        <v>20</v>
      </c>
      <c r="J8" s="90"/>
      <c r="K8" s="91"/>
      <c r="L8" s="63"/>
      <c r="M8" s="297"/>
      <c r="N8" s="300"/>
      <c r="O8" s="309"/>
      <c r="P8" s="306"/>
      <c r="Q8" s="303"/>
      <c r="R8" s="53"/>
      <c r="S8" s="53"/>
      <c r="T8" s="53"/>
      <c r="U8" s="53"/>
      <c r="V8" s="53"/>
      <c r="W8" s="53"/>
      <c r="X8" s="293" t="s">
        <v>14</v>
      </c>
      <c r="Y8" s="10"/>
      <c r="Z8" s="10"/>
      <c r="AB8" s="10"/>
      <c r="AC8" s="10"/>
      <c r="AD8" s="10"/>
      <c r="AE8" s="10"/>
      <c r="AF8" s="48" t="s">
        <v>12</v>
      </c>
      <c r="AG8" s="49" t="s">
        <v>3</v>
      </c>
    </row>
    <row r="9" spans="2:34" s="1" customFormat="1" ht="19.899999999999999" customHeight="1" thickBot="1">
      <c r="G9" s="53"/>
      <c r="H9" s="53"/>
      <c r="I9" s="92" t="s">
        <v>21</v>
      </c>
      <c r="J9" s="93" t="s">
        <v>22</v>
      </c>
      <c r="K9" s="93" t="s">
        <v>23</v>
      </c>
      <c r="L9" s="65" t="s">
        <v>29</v>
      </c>
      <c r="M9" s="298"/>
      <c r="N9" s="301"/>
      <c r="O9" s="310"/>
      <c r="P9" s="307"/>
      <c r="Q9" s="304"/>
      <c r="R9" s="53"/>
      <c r="S9" s="53"/>
      <c r="T9" s="53"/>
      <c r="U9" s="53"/>
      <c r="V9" s="53"/>
      <c r="W9" s="53"/>
      <c r="X9" s="294"/>
      <c r="Y9" s="52" t="s">
        <v>15</v>
      </c>
      <c r="Z9" s="30" t="s">
        <v>37</v>
      </c>
      <c r="AA9" s="30" t="s">
        <v>154</v>
      </c>
      <c r="AB9" s="11" t="s">
        <v>16</v>
      </c>
      <c r="AC9" s="31" t="s">
        <v>226</v>
      </c>
      <c r="AD9" s="31" t="s">
        <v>36</v>
      </c>
      <c r="AE9" s="31"/>
      <c r="AF9" s="50"/>
      <c r="AG9" s="51"/>
    </row>
    <row r="10" spans="2:34" s="22" customFormat="1" ht="12.75" hidden="1" customHeight="1" thickBot="1">
      <c r="G10" s="66"/>
      <c r="H10" s="66"/>
      <c r="I10" s="68">
        <v>9.7600000000000006E-2</v>
      </c>
      <c r="J10" s="69">
        <v>1.4999999999999999E-2</v>
      </c>
      <c r="K10" s="69">
        <v>2.4500000000000001E-2</v>
      </c>
      <c r="L10" s="70" t="s">
        <v>18</v>
      </c>
      <c r="M10" s="102"/>
      <c r="N10" s="103"/>
      <c r="O10" s="104"/>
      <c r="P10" s="105"/>
      <c r="Q10" s="169"/>
      <c r="R10" s="66"/>
      <c r="S10" s="66"/>
      <c r="T10" s="66"/>
      <c r="U10" s="66"/>
      <c r="V10" s="66"/>
      <c r="W10" s="66"/>
      <c r="X10" s="17">
        <v>0.09</v>
      </c>
      <c r="Y10" s="18"/>
      <c r="Z10" s="19"/>
      <c r="AA10" s="19"/>
      <c r="AB10" s="19"/>
      <c r="AC10" s="19"/>
      <c r="AD10" s="19"/>
      <c r="AE10" s="19"/>
      <c r="AF10" s="20"/>
      <c r="AG10" s="21"/>
    </row>
    <row r="11" spans="2:34" ht="15" customHeight="1">
      <c r="B11" s="2">
        <v>1</v>
      </c>
      <c r="G11" s="54"/>
      <c r="H11" s="54"/>
      <c r="I11" s="72">
        <f>IF(netto&lt;MWZPN,"",IF(O11&gt;=brak_e_r,ROUND(emeryt*brak_e_r,2),ROUND(emeryt*Q11,2)))</f>
        <v>2063.46</v>
      </c>
      <c r="J11" s="73">
        <f>IF(netto&lt;MWZPN,"",IF(O11&gt;=brak_e_r,ROUND(rent*brak_e_r,2),ROUND(rent*Q11,2)))</f>
        <v>317.13</v>
      </c>
      <c r="K11" s="73">
        <f t="shared" ref="K11:K22" si="0">IF(netto&lt;MWZPN,"",ROUND(chorob*Q11,2))</f>
        <v>517.98</v>
      </c>
      <c r="L11" s="94">
        <f t="shared" ref="L11:L22" si="1">IF(netto&lt;MWZPN,"",ROUND(I11+J11+K11,2))</f>
        <v>2898.57</v>
      </c>
      <c r="M11" s="106" t="str">
        <f>IF(netto&lt;MWZPN,"","styczeń")</f>
        <v>styczeń</v>
      </c>
      <c r="N11" s="95">
        <f t="shared" ref="N11:N22" si="2">IF(netto&lt;MWZPN,"",netto)</f>
        <v>15000</v>
      </c>
      <c r="O11" s="96">
        <f>SUM($Q$11:Q11)</f>
        <v>21142</v>
      </c>
      <c r="P11" s="209">
        <f>Q11</f>
        <v>21142</v>
      </c>
      <c r="Q11" s="170">
        <f>IF(netto&lt;MWZPN,"",ROUND(IF((netto-I_proc*K_U_P-kwota_wolna)/((1-emeryt-rent-chorob)*(1-zdrow-I_proc+zdrow_z_podatku))&lt;=brak_e_r,
ROUND((netto-I_proc*K_U_P-kwota_wolna)/((1-emeryt-rent-chorob)*(1-zdrow-I_proc+zdrow_z_podatku)-PPP-I_proc*PPS),2),
ROUND(((netto-I_proc*K_U_P-kwota_wolna)+(emeryt+rent)*(brak_e_r)*(1-zdrow-I_proc+zdrow_z_podatku))/((1-chorob)*(1-zdrow-I_proc+zdrow_z_podatku)-PPP-I_proc*PPS),2)),0))</f>
        <v>21142</v>
      </c>
      <c r="R11" s="55"/>
      <c r="S11" s="54"/>
      <c r="T11" s="54"/>
      <c r="U11" s="54"/>
      <c r="V11" s="54"/>
      <c r="W11" s="54"/>
      <c r="X11" s="40">
        <f t="shared" ref="X11:X22" si="3">IF(netto&lt;MWZPN,"",ROUND(zdrow*(Q11-L11),2))</f>
        <v>1641.91</v>
      </c>
      <c r="Y11" s="41">
        <f t="shared" ref="Y11:Y22" si="4">IF(netto="","",zdrow_z_podatku*(Q11-L11))</f>
        <v>1413.8658250000001</v>
      </c>
      <c r="Z11" s="33">
        <f>IF(netto&lt;MWZPN,0,IF(SUM($Q$11:Q11)&lt;=brak_e_r,Q11,SUM($Q$11:Q11)-'umowa o pracę - netto'!brak_e_r))</f>
        <v>21142</v>
      </c>
      <c r="AA11" s="33">
        <f t="shared" ref="AA11:AA22" si="5">IF(AB11=1,kwota_wolna,0)</f>
        <v>43.76</v>
      </c>
      <c r="AB11" s="12">
        <f>IF(netto&lt;MWZPN,0,IF(O10-SUM($L10:L$11)-K_U_P*B10&lt;=I_prog,1,2))</f>
        <v>1</v>
      </c>
      <c r="AC11" s="12" t="b">
        <f t="shared" ref="AC11:AC22" si="6">AND(O11&gt;I_prog,old="nie")</f>
        <v>0</v>
      </c>
      <c r="AD11" s="32">
        <f t="shared" ref="AD11:AD22" si="7">IF(AB11=1,I_proc,IF(AB11=2,II_proc,0))</f>
        <v>0.17</v>
      </c>
      <c r="AE11" s="32">
        <f>AC11*AD11</f>
        <v>0</v>
      </c>
      <c r="AF11" s="36">
        <f>IF(netto&lt;MWZPN,"",ROUND(I_proc*ROUND((Q11-L11-K_U_P),0)-kwota_wolna-Y11,0))</f>
        <v>1601</v>
      </c>
      <c r="AG11" s="39">
        <f t="shared" ref="AG11:AG22" si="8">IF(netto&lt;MWZPN,"",I11+J11+K11+X11+AF11)</f>
        <v>6141.4800000000005</v>
      </c>
    </row>
    <row r="12" spans="2:34" ht="15" customHeight="1">
      <c r="B12" s="2">
        <v>2</v>
      </c>
      <c r="G12" s="54"/>
      <c r="H12" s="54"/>
      <c r="I12" s="72">
        <f t="shared" ref="I12:I22" si="9">IF(netto&lt;MWZPN,"",IF(O12&lt;=brak_e_r,ROUND(emeryt*Q11,2),IF(O12&lt;=brak_e_r+Q12,ROUND(emeryt*(brak_e_r-O11),2),0)))</f>
        <v>2063.46</v>
      </c>
      <c r="J12" s="73">
        <f t="shared" ref="J12:J22" si="10">IF(netto&lt;MWZPN,"",IF(O12&lt;=brak_e_r,ROUND(rent*Q12,2),IF(O12&lt;=brak_e_r+Q12,ROUND(rent*(brak_e_r-O11),2),0)))</f>
        <v>317.13</v>
      </c>
      <c r="K12" s="73">
        <f t="shared" si="0"/>
        <v>517.98</v>
      </c>
      <c r="L12" s="94">
        <f t="shared" si="1"/>
        <v>2898.57</v>
      </c>
      <c r="M12" s="106" t="str">
        <f>IF(netto&lt;MWZPN,"","luty")</f>
        <v>luty</v>
      </c>
      <c r="N12" s="95">
        <f t="shared" si="2"/>
        <v>15000</v>
      </c>
      <c r="O12" s="96">
        <f>SUM($Q$11:Q12)</f>
        <v>42284</v>
      </c>
      <c r="P12" s="209">
        <f t="shared" ref="P12:P22" si="11">Q12</f>
        <v>21142</v>
      </c>
      <c r="Q12" s="170">
        <f>IF(netto&lt;MWZPN,"",ROUND(IF(SUM($Q$11:Q11)+(netto-AD12*K_U_P-AA12)/((1-emeryt-rent-chorob)*(1-zdrow-AD12+zdrow_z_podatku))&lt;=brak_e_r,ROUND((N12-AD12*K_U_P-AA12)/((1-emeryt-rent-chorob)*(1-zdrow-AD12+zdrow_z_podatku)-PPP-AD12*PPS),2),
IF(SUM($Q$11:Q11)+(netto-AD12*K_U_P-AA12)/((1-emeryt-rent-chorob)*(1-zdrow-AD12+zdrow_z_podatku))&lt;=brak_e_r+(netto-AD12*K_U_P-AA12)/((1-emeryt-rent-chorob)*(1-zdrow-AD12+zdrow_z_podatku)-PPP-AD12*PPS),
ROUND(((netto-AD12*K_U_P-AA12)+(emeryt+rent)*(brak_e_r-SUM($Q$11:Q11))*(1-zdrow-AD12+zdrow_z_podatku))/((1-chorob)*(1-zdrow-AD12+zdrow_z_podatku)-PPP-AD12*PPS),2),ROUND((N12-AD12*K_U_P-AA12)/((1-chorob)*(1-zdrow-AD12+zdrow_z_podatku)-PPP-AD12*PPS),2))),0))</f>
        <v>21142</v>
      </c>
      <c r="R12" s="55"/>
      <c r="S12" s="54"/>
      <c r="T12" s="54"/>
      <c r="U12" s="54"/>
      <c r="V12" s="54"/>
      <c r="W12" s="54"/>
      <c r="X12" s="40">
        <f t="shared" si="3"/>
        <v>1641.91</v>
      </c>
      <c r="Y12" s="41">
        <f t="shared" si="4"/>
        <v>1413.8658250000001</v>
      </c>
      <c r="Z12" s="33">
        <f>IF(netto&lt;MWZPN,0,IF(SUM($Q$11:Q12)&lt;=brak_e_r,Q12,IF(SUM($Q$11:Q12)&lt;='umowa o pracę - netto'!brak_e_r+Q12,SUM($Q$11:Q12)-'umowa o pracę - netto'!brak_e_r,0)))</f>
        <v>21142</v>
      </c>
      <c r="AA12" s="33">
        <f t="shared" si="5"/>
        <v>43.76</v>
      </c>
      <c r="AB12" s="12">
        <f>IF(netto&lt;MWZPN,0,IF(O11-SUM($L$11:L11)-K_U_P*B11&lt;=I_prog,1,2))</f>
        <v>1</v>
      </c>
      <c r="AC12" s="12" t="b">
        <f t="shared" si="6"/>
        <v>0</v>
      </c>
      <c r="AD12" s="32">
        <f t="shared" si="7"/>
        <v>0.17</v>
      </c>
      <c r="AE12" s="32">
        <f t="shared" ref="AE12:AE22" si="12">AC12*AD12</f>
        <v>0</v>
      </c>
      <c r="AF12" s="37">
        <f>IF(netto&lt;MWZPN,"",IF(O11-SUM($L$11:L11)-K_U_P*B11&lt;=I_prog,ROUND(I_proc*ROUND((Q12-L12-K_U_P),0)-AA12-Y12,0),ROUND(II_proc*ROUND((Q12-L12-K_U_P),0)-AA12-Y12,0)))</f>
        <v>1601</v>
      </c>
      <c r="AG12" s="39">
        <f t="shared" si="8"/>
        <v>6141.4800000000005</v>
      </c>
    </row>
    <row r="13" spans="2:34" ht="15" customHeight="1">
      <c r="B13" s="2">
        <v>3</v>
      </c>
      <c r="G13" s="54"/>
      <c r="H13" s="54"/>
      <c r="I13" s="72">
        <f t="shared" si="9"/>
        <v>2063.46</v>
      </c>
      <c r="J13" s="73">
        <f t="shared" si="10"/>
        <v>317.13</v>
      </c>
      <c r="K13" s="73">
        <f t="shared" si="0"/>
        <v>517.98</v>
      </c>
      <c r="L13" s="94">
        <f t="shared" si="1"/>
        <v>2898.57</v>
      </c>
      <c r="M13" s="106" t="str">
        <f>IF(netto&lt;MWZPN,"","marzec")</f>
        <v>marzec</v>
      </c>
      <c r="N13" s="95">
        <f t="shared" si="2"/>
        <v>15000</v>
      </c>
      <c r="O13" s="96">
        <f>SUM($Q$11:Q13)</f>
        <v>63426</v>
      </c>
      <c r="P13" s="209">
        <f t="shared" si="11"/>
        <v>21142</v>
      </c>
      <c r="Q13" s="170">
        <f>IF(netto&lt;MWZPN,"",ROUND(IF(SUM($Q$11:Q12)+(netto-AD13*K_U_P-AA13)/((1-emeryt-rent-chorob)*(1-zdrow-AD13+zdrow_z_podatku))&lt;=brak_e_r,ROUND((N13-AD13*K_U_P-AA13)/((1-emeryt-rent-chorob)*(1-zdrow-AD13+zdrow_z_podatku)-PPP-AD13*PPS),2),
IF(SUM($Q$11:Q12)+(netto-AD13*K_U_P-AA13)/((1-emeryt-rent-chorob)*(1-zdrow-AD13+zdrow_z_podatku))&lt;=brak_e_r+(netto-AD13*K_U_P-AA13)/((1-emeryt-rent-chorob)*(1-zdrow-AD13+zdrow_z_podatku)-PPP-AD13*PPS),
ROUND(((netto-AD13*K_U_P-AA13)+(emeryt+rent)*(brak_e_r-SUM($Q$11:Q12))*(1-zdrow-AD13+zdrow_z_podatku))/((1-chorob)*(1-zdrow-AD13+zdrow_z_podatku)-PPP-AD13*PPS),2),ROUND((N13-AD13*K_U_P-AA13)/((1-chorob)*(1-zdrow-AD13+zdrow_z_podatku)-PPP-AD13*PPS),2))),0))</f>
        <v>21142</v>
      </c>
      <c r="R13" s="55"/>
      <c r="S13" s="54"/>
      <c r="T13" s="54"/>
      <c r="U13" s="54"/>
      <c r="V13" s="54"/>
      <c r="W13" s="54"/>
      <c r="X13" s="40">
        <f t="shared" si="3"/>
        <v>1641.91</v>
      </c>
      <c r="Y13" s="41">
        <f t="shared" si="4"/>
        <v>1413.8658250000001</v>
      </c>
      <c r="Z13" s="33">
        <f>IF(netto&lt;MWZPN,0,IF(SUM($Q$11:Q13)&lt;=brak_e_r,Q13,IF(SUM($Q$11:Q13)&lt;='umowa o pracę - netto'!brak_e_r+Q13,SUM($Q$11:Q13)-'umowa o pracę - netto'!brak_e_r,0)))</f>
        <v>21142</v>
      </c>
      <c r="AA13" s="33">
        <f t="shared" si="5"/>
        <v>43.76</v>
      </c>
      <c r="AB13" s="12">
        <f>IF(netto&lt;MWZPN,0,IF(O12-SUM($L$11:L12)-K_U_P*B12&lt;=I_prog,1,2))</f>
        <v>1</v>
      </c>
      <c r="AC13" s="12" t="b">
        <f t="shared" si="6"/>
        <v>0</v>
      </c>
      <c r="AD13" s="32">
        <f t="shared" si="7"/>
        <v>0.17</v>
      </c>
      <c r="AE13" s="32">
        <f t="shared" si="12"/>
        <v>0</v>
      </c>
      <c r="AF13" s="37">
        <f>IF(netto&lt;MWZPN,"",IF(O12-SUM($L$11:L12)-K_U_P*B12&lt;=I_prog,ROUND(I_proc*ROUND((Q13-L13-K_U_P),0)-AA13-Y13,0),ROUND(II_proc*ROUND((Q13-L13-K_U_P),0)-AA13-Y13,0)))</f>
        <v>1601</v>
      </c>
      <c r="AG13" s="39">
        <f t="shared" si="8"/>
        <v>6141.4800000000005</v>
      </c>
    </row>
    <row r="14" spans="2:34" ht="15" customHeight="1">
      <c r="B14" s="2">
        <v>4</v>
      </c>
      <c r="G14" s="54"/>
      <c r="H14" s="54"/>
      <c r="I14" s="72">
        <f t="shared" si="9"/>
        <v>2063.46</v>
      </c>
      <c r="J14" s="73">
        <f t="shared" si="10"/>
        <v>317.13</v>
      </c>
      <c r="K14" s="73">
        <f t="shared" si="0"/>
        <v>517.98</v>
      </c>
      <c r="L14" s="94">
        <f t="shared" si="1"/>
        <v>2898.57</v>
      </c>
      <c r="M14" s="106" t="str">
        <f>IF(netto&lt;MWZPN,"","kwiecień")</f>
        <v>kwiecień</v>
      </c>
      <c r="N14" s="95">
        <f t="shared" si="2"/>
        <v>15000</v>
      </c>
      <c r="O14" s="96">
        <f>SUM($Q$11:Q14)</f>
        <v>84568</v>
      </c>
      <c r="P14" s="209">
        <f t="shared" si="11"/>
        <v>21142</v>
      </c>
      <c r="Q14" s="170">
        <f>IF(netto&lt;MWZPN,"",ROUND(IF(SUM($Q$11:Q13)+(netto-AD14*K_U_P-AA14)/((1-emeryt-rent-chorob)*(1-zdrow-AD14+zdrow_z_podatku))&lt;=brak_e_r,ROUND((N14-AD14*K_U_P-AA14)/((1-emeryt-rent-chorob)*(1-zdrow-AD14+zdrow_z_podatku)-PPP-AD14*PPS),2),
IF(SUM($Q$11:Q13)+(netto-AD14*K_U_P-AA14)/((1-emeryt-rent-chorob)*(1-zdrow-AD14+zdrow_z_podatku))&lt;=brak_e_r+(netto-AD14*K_U_P-AA14)/((1-emeryt-rent-chorob)*(1-zdrow-AD14+zdrow_z_podatku)-PPP-AD14*PPS),
ROUND(((netto-AD14*K_U_P-AA14)+(emeryt+rent)*(brak_e_r-SUM($Q$11:Q13))*(1-zdrow-AD14+zdrow_z_podatku))/((1-chorob)*(1-zdrow-AD14+zdrow_z_podatku)-PPP-AD14*PPS),2),ROUND((N14-AD14*K_U_P-AA14)/((1-chorob)*(1-zdrow-AD14+zdrow_z_podatku)-PPP-AD14*PPS),2))),0))</f>
        <v>21142</v>
      </c>
      <c r="R14" s="55"/>
      <c r="S14" s="54"/>
      <c r="T14" s="54"/>
      <c r="U14" s="54"/>
      <c r="V14" s="54"/>
      <c r="W14" s="54"/>
      <c r="X14" s="40">
        <f t="shared" si="3"/>
        <v>1641.91</v>
      </c>
      <c r="Y14" s="41">
        <f t="shared" si="4"/>
        <v>1413.8658250000001</v>
      </c>
      <c r="Z14" s="33">
        <f>IF(netto&lt;MWZPN,0,IF(SUM($Q$11:Q14)&lt;=brak_e_r,Q14,IF(SUM($Q$11:Q14)&lt;='umowa o pracę - netto'!brak_e_r+Q14,SUM($Q$11:Q14)-'umowa o pracę - netto'!brak_e_r,0)))</f>
        <v>21142</v>
      </c>
      <c r="AA14" s="33">
        <f t="shared" si="5"/>
        <v>43.76</v>
      </c>
      <c r="AB14" s="12">
        <f>IF(netto&lt;MWZPN,0,IF(O13-SUM($L$11:L13)-K_U_P*B13&lt;=I_prog,1,2))</f>
        <v>1</v>
      </c>
      <c r="AC14" s="12" t="b">
        <f t="shared" si="6"/>
        <v>0</v>
      </c>
      <c r="AD14" s="32">
        <f t="shared" si="7"/>
        <v>0.17</v>
      </c>
      <c r="AE14" s="32">
        <f t="shared" si="12"/>
        <v>0</v>
      </c>
      <c r="AF14" s="37">
        <f>IF(netto&lt;MWZPN,"",IF(O13-SUM($L$11:L13)-K_U_P*B13&lt;=I_prog,ROUND(I_proc*ROUND((Q14-L14-K_U_P),0)-AA14-Y14,0),ROUND(II_proc*ROUND((Q14-L14-K_U_P),0)-AA14-Y14,0)))</f>
        <v>1601</v>
      </c>
      <c r="AG14" s="39">
        <f t="shared" si="8"/>
        <v>6141.4800000000005</v>
      </c>
    </row>
    <row r="15" spans="2:34" ht="15" customHeight="1">
      <c r="B15" s="2">
        <v>5</v>
      </c>
      <c r="G15" s="54"/>
      <c r="H15" s="54"/>
      <c r="I15" s="72">
        <f t="shared" si="9"/>
        <v>2063.46</v>
      </c>
      <c r="J15" s="73">
        <f t="shared" si="10"/>
        <v>317.13</v>
      </c>
      <c r="K15" s="73">
        <f t="shared" si="0"/>
        <v>517.98</v>
      </c>
      <c r="L15" s="94">
        <f t="shared" si="1"/>
        <v>2898.57</v>
      </c>
      <c r="M15" s="106" t="str">
        <f>IF(netto&lt;MWZPN,"","maj")</f>
        <v>maj</v>
      </c>
      <c r="N15" s="95">
        <f t="shared" si="2"/>
        <v>15000</v>
      </c>
      <c r="O15" s="96">
        <f>SUM($Q$11:Q15)</f>
        <v>105710</v>
      </c>
      <c r="P15" s="209">
        <f t="shared" si="11"/>
        <v>21142</v>
      </c>
      <c r="Q15" s="170">
        <f>IF(netto&lt;MWZPN,"",ROUND(IF(SUM($Q$11:Q14)+(netto-AD15*K_U_P-AA15)/((1-emeryt-rent-chorob)*(1-zdrow-AD15+zdrow_z_podatku))&lt;=brak_e_r,ROUND((N15-AD15*K_U_P-AA15)/((1-emeryt-rent-chorob)*(1-zdrow-AD15+zdrow_z_podatku)-PPP-AD15*PPS),2),
IF(SUM($Q$11:Q14)+(netto-AD15*K_U_P-AA15)/((1-emeryt-rent-chorob)*(1-zdrow-AD15+zdrow_z_podatku))&lt;=brak_e_r+(netto-AD15*K_U_P-AA15)/((1-emeryt-rent-chorob)*(1-zdrow-AD15+zdrow_z_podatku)-PPP-AD15*PPS),
ROUND(((netto-AD15*K_U_P-AA15)+(emeryt+rent)*(brak_e_r-SUM($Q$11:Q14))*(1-zdrow-AD15+zdrow_z_podatku))/((1-chorob)*(1-zdrow-AD15+zdrow_z_podatku)-PPP-AD15*PPS),2),ROUND((N15-AD15*K_U_P-AA15)/((1-chorob)*(1-zdrow-AD15+zdrow_z_podatku)-PPP-AD15*PPS),2))),0))</f>
        <v>21142</v>
      </c>
      <c r="R15" s="55"/>
      <c r="S15" s="54"/>
      <c r="T15" s="54"/>
      <c r="U15" s="54"/>
      <c r="V15" s="54"/>
      <c r="W15" s="54"/>
      <c r="X15" s="40">
        <f t="shared" si="3"/>
        <v>1641.91</v>
      </c>
      <c r="Y15" s="41">
        <f t="shared" si="4"/>
        <v>1413.8658250000001</v>
      </c>
      <c r="Z15" s="33">
        <f>IF(netto&lt;MWZPN,0,IF(SUM($Q$11:Q15)&lt;=brak_e_r,Q15,IF(SUM($Q$11:Q15)&lt;='umowa o pracę - netto'!brak_e_r+Q15,SUM($Q$11:Q15)-'umowa o pracę - netto'!brak_e_r,0)))</f>
        <v>21142</v>
      </c>
      <c r="AA15" s="33">
        <f t="shared" si="5"/>
        <v>43.76</v>
      </c>
      <c r="AB15" s="12">
        <f>IF(netto&lt;MWZPN,0,IF(O14-SUM($L$11:L14)-K_U_P*B14&lt;=I_prog,1,2))</f>
        <v>1</v>
      </c>
      <c r="AC15" s="12" t="b">
        <f t="shared" si="6"/>
        <v>0</v>
      </c>
      <c r="AD15" s="32">
        <f t="shared" si="7"/>
        <v>0.17</v>
      </c>
      <c r="AE15" s="32">
        <f t="shared" si="12"/>
        <v>0</v>
      </c>
      <c r="AF15" s="37">
        <f>IF(netto&lt;MWZPN,"",IF(O14-SUM($L$11:L14)-K_U_P*B14&lt;=I_prog,ROUND(I_proc*ROUND((Q15-L15-K_U_P),0)-AA15-Y15,0),ROUND(II_proc*ROUND((Q15-L15-K_U_P),0)-AA15-Y15,0)))</f>
        <v>1601</v>
      </c>
      <c r="AG15" s="39">
        <f t="shared" si="8"/>
        <v>6141.4800000000005</v>
      </c>
    </row>
    <row r="16" spans="2:34" ht="15" customHeight="1">
      <c r="B16" s="2">
        <v>6</v>
      </c>
      <c r="G16" s="54"/>
      <c r="H16" s="54"/>
      <c r="I16" s="72">
        <f t="shared" si="9"/>
        <v>2063.46</v>
      </c>
      <c r="J16" s="73">
        <f t="shared" si="10"/>
        <v>388.55</v>
      </c>
      <c r="K16" s="73">
        <f t="shared" si="0"/>
        <v>634.62</v>
      </c>
      <c r="L16" s="94">
        <f t="shared" si="1"/>
        <v>3086.63</v>
      </c>
      <c r="M16" s="106" t="str">
        <f>IF(netto&lt;MWZPN,"","czerwiec")</f>
        <v>czerwiec</v>
      </c>
      <c r="N16" s="95">
        <f t="shared" si="2"/>
        <v>15000</v>
      </c>
      <c r="O16" s="96">
        <f>SUM($Q$11:Q16)</f>
        <v>131613</v>
      </c>
      <c r="P16" s="209">
        <f t="shared" si="11"/>
        <v>25903</v>
      </c>
      <c r="Q16" s="170">
        <f>IF(netto&lt;MWZPN,"",ROUND(IF(SUM($Q$11:Q15)+(netto-AD16*K_U_P-AA16)/((1-emeryt-rent-chorob)*(1-zdrow-AD16+zdrow_z_podatku))&lt;=brak_e_r,ROUND((N16-AD16*K_U_P-AA16)/((1-emeryt-rent-chorob)*(1-zdrow-AD16+zdrow_z_podatku)-PPP-AD16*PPS),2),
IF(SUM($Q$11:Q15)+(netto-AD16*K_U_P-AA16)/((1-emeryt-rent-chorob)*(1-zdrow-AD16+zdrow_z_podatku))&lt;=brak_e_r+(netto-AD16*K_U_P-AA16)/((1-emeryt-rent-chorob)*(1-zdrow-AD16+zdrow_z_podatku)-PPP-AD16*PPS),
ROUND(((netto-AD16*K_U_P-AA16)+(emeryt+rent)*(brak_e_r-SUM($Q$11:Q15))*(1-zdrow-AD16+zdrow_z_podatku))/((1-chorob)*(1-zdrow-AD16+zdrow_z_podatku)-PPP-AD16*PPS),2),ROUND((N16-AD16*K_U_P-AA16)/((1-chorob)*(1-zdrow-AD16+zdrow_z_podatku)-PPP-AD16*PPS),2))),0))</f>
        <v>25903</v>
      </c>
      <c r="R16" s="55"/>
      <c r="S16" s="54"/>
      <c r="T16" s="54"/>
      <c r="U16" s="54"/>
      <c r="V16" s="54"/>
      <c r="W16" s="54"/>
      <c r="X16" s="40">
        <f t="shared" si="3"/>
        <v>2053.4699999999998</v>
      </c>
      <c r="Y16" s="41">
        <f t="shared" si="4"/>
        <v>1768.2686749999998</v>
      </c>
      <c r="Z16" s="33">
        <f>IF(netto&lt;MWZPN,0,IF(SUM($Q$11:Q16)&lt;=brak_e_r,Q16,IF(SUM($Q$11:Q16)&lt;='umowa o pracę - netto'!brak_e_r+Q16,SUM($Q$11:Q16)-'umowa o pracę - netto'!brak_e_r,0)))</f>
        <v>25903</v>
      </c>
      <c r="AA16" s="33">
        <f t="shared" si="5"/>
        <v>0</v>
      </c>
      <c r="AB16" s="12">
        <f>IF(netto&lt;MWZPN,0,IF(O15-SUM($L$11:L15)-K_U_P*B15&lt;=I_prog,1,2))</f>
        <v>2</v>
      </c>
      <c r="AC16" s="12" t="b">
        <f t="shared" si="6"/>
        <v>0</v>
      </c>
      <c r="AD16" s="32">
        <f t="shared" si="7"/>
        <v>0.32</v>
      </c>
      <c r="AE16" s="32">
        <f t="shared" si="12"/>
        <v>0</v>
      </c>
      <c r="AF16" s="37">
        <f>IF(netto&lt;MWZPN,"",IF(O15-SUM($L$11:L15)-K_U_P*B15&lt;=I_prog,ROUND(I_proc*ROUND((Q16-L16-K_U_P),0)-AA16-Y16,0),ROUND(II_proc*ROUND((Q16-L16-K_U_P),0)-AA16-Y16,0)))</f>
        <v>5453</v>
      </c>
      <c r="AG16" s="39">
        <f t="shared" si="8"/>
        <v>10593.1</v>
      </c>
    </row>
    <row r="17" spans="2:33" ht="15" customHeight="1">
      <c r="B17" s="2">
        <v>7</v>
      </c>
      <c r="G17" s="54"/>
      <c r="H17" s="54"/>
      <c r="I17" s="72">
        <f t="shared" si="9"/>
        <v>2459.23</v>
      </c>
      <c r="J17" s="73">
        <f t="shared" si="10"/>
        <v>377.96</v>
      </c>
      <c r="K17" s="73">
        <f t="shared" si="0"/>
        <v>632.64</v>
      </c>
      <c r="L17" s="94">
        <f t="shared" si="1"/>
        <v>3469.83</v>
      </c>
      <c r="M17" s="106" t="str">
        <f>IF(netto&lt;MWZPN,"","lipiec")</f>
        <v>lipiec</v>
      </c>
      <c r="N17" s="95">
        <f t="shared" si="2"/>
        <v>15000</v>
      </c>
      <c r="O17" s="96">
        <f>SUM($Q$11:Q17)</f>
        <v>157435</v>
      </c>
      <c r="P17" s="209">
        <f t="shared" si="11"/>
        <v>25822</v>
      </c>
      <c r="Q17" s="170">
        <f>IF(netto&lt;MWZPN,"",ROUND(IF(SUM($Q$11:Q16)+(netto-AD17*K_U_P-AA17)/((1-emeryt-rent-chorob)*(1-zdrow-AD17+zdrow_z_podatku))&lt;=brak_e_r,ROUND((N17-AD17*K_U_P-AA17)/((1-emeryt-rent-chorob)*(1-zdrow-AD17+zdrow_z_podatku)-PPP-AD17*PPS),2),
IF(SUM($Q$11:Q16)+(netto-AD17*K_U_P-AA17)/((1-emeryt-rent-chorob)*(1-zdrow-AD17+zdrow_z_podatku))&lt;=brak_e_r+(netto-AD17*K_U_P-AA17)/((1-emeryt-rent-chorob)*(1-zdrow-AD17+zdrow_z_podatku)-PPP-AD17*PPS),
ROUND(((netto-AD17*K_U_P-AA17)+(emeryt+rent)*(brak_e_r-SUM($Q$11:Q16))*(1-zdrow-AD17+zdrow_z_podatku))/((1-chorob)*(1-zdrow-AD17+zdrow_z_podatku)-PPP-AD17*PPS),2),ROUND((N17-AD17*K_U_P-AA17)/((1-chorob)*(1-zdrow-AD17+zdrow_z_podatku)-PPP-AD17*PPS),2))),0))</f>
        <v>25822</v>
      </c>
      <c r="R17" s="55"/>
      <c r="S17" s="54"/>
      <c r="T17" s="54"/>
      <c r="U17" s="54"/>
      <c r="V17" s="54"/>
      <c r="W17" s="54"/>
      <c r="X17" s="40">
        <f t="shared" si="3"/>
        <v>2011.7</v>
      </c>
      <c r="Y17" s="41">
        <f t="shared" si="4"/>
        <v>1732.2931749999998</v>
      </c>
      <c r="Z17" s="33">
        <f>IF(netto&lt;MWZPN,0,IF(SUM($Q$11:Q17)&lt;=brak_e_r,Q17,IF(SUM($Q$11:Q17)&lt;='umowa o pracę - netto'!brak_e_r+Q17,SUM($Q$11:Q17)-'umowa o pracę - netto'!brak_e_r,0)))</f>
        <v>625</v>
      </c>
      <c r="AA17" s="33">
        <f t="shared" si="5"/>
        <v>0</v>
      </c>
      <c r="AB17" s="12">
        <f>IF(netto&lt;MWZPN,0,IF(O16-SUM($L$11:L16)-K_U_P*B16&lt;=I_prog,1,2))</f>
        <v>2</v>
      </c>
      <c r="AC17" s="12" t="b">
        <f t="shared" si="6"/>
        <v>0</v>
      </c>
      <c r="AD17" s="32">
        <f t="shared" si="7"/>
        <v>0.32</v>
      </c>
      <c r="AE17" s="32">
        <f t="shared" si="12"/>
        <v>0</v>
      </c>
      <c r="AF17" s="37">
        <f>IF(netto&lt;MWZPN,"",IF(O16-SUM($L$11:L16)-K_U_P*B16&lt;=I_prog,ROUND(I_proc*ROUND((Q17-L17-K_U_P),0)-AA17-Y17,0),ROUND(II_proc*ROUND((Q17-L17-K_U_P),0)-AA17-Y17,0)))</f>
        <v>5340</v>
      </c>
      <c r="AG17" s="39">
        <f t="shared" si="8"/>
        <v>10821.529999999999</v>
      </c>
    </row>
    <row r="18" spans="2:33" ht="15" customHeight="1">
      <c r="B18" s="2">
        <v>8</v>
      </c>
      <c r="G18" s="54"/>
      <c r="H18" s="54"/>
      <c r="I18" s="72">
        <f t="shared" si="9"/>
        <v>0</v>
      </c>
      <c r="J18" s="73">
        <f t="shared" si="10"/>
        <v>0</v>
      </c>
      <c r="K18" s="73">
        <f t="shared" si="0"/>
        <v>561.37</v>
      </c>
      <c r="L18" s="94">
        <f t="shared" si="1"/>
        <v>561.37</v>
      </c>
      <c r="M18" s="106" t="str">
        <f>IF(netto&lt;MWZPN,"","sierpień")</f>
        <v>sierpień</v>
      </c>
      <c r="N18" s="95">
        <f t="shared" si="2"/>
        <v>15000</v>
      </c>
      <c r="O18" s="96">
        <f>SUM($Q$11:Q18)</f>
        <v>180348</v>
      </c>
      <c r="P18" s="209">
        <f t="shared" si="11"/>
        <v>22913</v>
      </c>
      <c r="Q18" s="170">
        <f>IF(netto&lt;MWZPN,"",ROUND(IF(SUM($Q$11:Q17)+(netto-AD18*K_U_P-AA18)/((1-emeryt-rent-chorob)*(1-zdrow-AD18+zdrow_z_podatku))&lt;=brak_e_r,ROUND((N18-AD18*K_U_P-AA18)/((1-emeryt-rent-chorob)*(1-zdrow-AD18+zdrow_z_podatku)-PPP-AD18*PPS),2),
IF(SUM($Q$11:Q17)+(netto-AD18*K_U_P-AA18)/((1-emeryt-rent-chorob)*(1-zdrow-AD18+zdrow_z_podatku))&lt;=brak_e_r+(netto-AD18*K_U_P-AA18)/((1-emeryt-rent-chorob)*(1-zdrow-AD18+zdrow_z_podatku)-PPP-AD18*PPS),
ROUND(((netto-AD18*K_U_P-AA18)+(emeryt+rent)*(brak_e_r-SUM($Q$11:Q17))*(1-zdrow-AD18+zdrow_z_podatku))/((1-chorob)*(1-zdrow-AD18+zdrow_z_podatku)-PPP-AD18*PPS),2),ROUND((N18-AD18*K_U_P-AA18)/((1-chorob)*(1-zdrow-AD18+zdrow_z_podatku)-PPP-AD18*PPS),2))),0))</f>
        <v>22913</v>
      </c>
      <c r="R18" s="55"/>
      <c r="S18" s="54"/>
      <c r="T18" s="54"/>
      <c r="U18" s="54"/>
      <c r="V18" s="54"/>
      <c r="W18" s="54"/>
      <c r="X18" s="40">
        <f t="shared" si="3"/>
        <v>2011.65</v>
      </c>
      <c r="Y18" s="41">
        <f t="shared" si="4"/>
        <v>1732.2513250000002</v>
      </c>
      <c r="Z18" s="33">
        <f>IF(netto&lt;MWZPN,0,IF(SUM($Q$11:Q18)&lt;=brak_e_r,Q18,IF(SUM($Q$11:Q18)&lt;='umowa o pracę - netto'!brak_e_r+Q18,SUM($Q$11:Q18)-'umowa o pracę - netto'!brak_e_r,0)))</f>
        <v>0</v>
      </c>
      <c r="AA18" s="33">
        <f t="shared" si="5"/>
        <v>0</v>
      </c>
      <c r="AB18" s="12">
        <f>IF(netto&lt;MWZPN,0,IF(O17-SUM($L$11:L17)-K_U_P*B17&lt;=I_prog,1,2))</f>
        <v>2</v>
      </c>
      <c r="AC18" s="12" t="b">
        <f t="shared" si="6"/>
        <v>0</v>
      </c>
      <c r="AD18" s="32">
        <f t="shared" si="7"/>
        <v>0.32</v>
      </c>
      <c r="AE18" s="32">
        <f t="shared" si="12"/>
        <v>0</v>
      </c>
      <c r="AF18" s="37">
        <f>IF(netto&lt;MWZPN,"",IF(O17-SUM($L$11:L17)-K_U_P*B17&lt;=I_prog,ROUND(I_proc*ROUND((Q18-L18-K_U_P),0)-AA18-Y18,0),ROUND(II_proc*ROUND((Q18-L18-K_U_P),0)-AA18-Y18,0)))</f>
        <v>5340</v>
      </c>
      <c r="AG18" s="39">
        <f t="shared" si="8"/>
        <v>7913.02</v>
      </c>
    </row>
    <row r="19" spans="2:33" ht="15" customHeight="1">
      <c r="B19" s="2">
        <v>9</v>
      </c>
      <c r="G19" s="54"/>
      <c r="H19" s="54"/>
      <c r="I19" s="72">
        <f t="shared" si="9"/>
        <v>0</v>
      </c>
      <c r="J19" s="73">
        <f t="shared" si="10"/>
        <v>0</v>
      </c>
      <c r="K19" s="73">
        <f t="shared" si="0"/>
        <v>561.37</v>
      </c>
      <c r="L19" s="94">
        <f t="shared" si="1"/>
        <v>561.37</v>
      </c>
      <c r="M19" s="106" t="str">
        <f>IF(netto&lt;MWZPN,"","wrzesień")</f>
        <v>wrzesień</v>
      </c>
      <c r="N19" s="95">
        <f t="shared" si="2"/>
        <v>15000</v>
      </c>
      <c r="O19" s="96">
        <f>SUM($Q$11:Q19)</f>
        <v>203261</v>
      </c>
      <c r="P19" s="209">
        <f t="shared" si="11"/>
        <v>22913</v>
      </c>
      <c r="Q19" s="170">
        <f>IF(netto&lt;MWZPN,"",ROUND(IF(SUM($Q$11:Q18)+(netto-AD19*K_U_P-AA19)/((1-emeryt-rent-chorob)*(1-zdrow-AD19+zdrow_z_podatku))&lt;=brak_e_r,ROUND((N19-AD19*K_U_P-AA19)/((1-emeryt-rent-chorob)*(1-zdrow-AD19+zdrow_z_podatku)-PPP-AD19*PPS),2),
IF(SUM($Q$11:Q18)+(netto-AD19*K_U_P-AA19)/((1-emeryt-rent-chorob)*(1-zdrow-AD19+zdrow_z_podatku))&lt;=brak_e_r+(netto-AD19*K_U_P-AA19)/((1-emeryt-rent-chorob)*(1-zdrow-AD19+zdrow_z_podatku)-PPP-AD19*PPS),
ROUND(((netto-AD19*K_U_P-AA19)+(emeryt+rent)*(brak_e_r-SUM($Q$11:Q18))*(1-zdrow-AD19+zdrow_z_podatku))/((1-chorob)*(1-zdrow-AD19+zdrow_z_podatku)-PPP-AD19*PPS),2),ROUND((N19-AD19*K_U_P-AA19)/((1-chorob)*(1-zdrow-AD19+zdrow_z_podatku)-PPP-AD19*PPS),2))),0))</f>
        <v>22913</v>
      </c>
      <c r="R19" s="55"/>
      <c r="S19" s="54"/>
      <c r="T19" s="54"/>
      <c r="U19" s="54"/>
      <c r="V19" s="54"/>
      <c r="W19" s="54"/>
      <c r="X19" s="40">
        <f t="shared" si="3"/>
        <v>2011.65</v>
      </c>
      <c r="Y19" s="41">
        <f t="shared" si="4"/>
        <v>1732.2513250000002</v>
      </c>
      <c r="Z19" s="33">
        <f>IF(netto&lt;MWZPN,0,IF(SUM($Q$11:Q19)&lt;=brak_e_r,Q19,IF(SUM($Q$11:Q19)&lt;='umowa o pracę - netto'!brak_e_r+Q19,SUM($Q$11:Q19)-'umowa o pracę - netto'!brak_e_r,0)))</f>
        <v>0</v>
      </c>
      <c r="AA19" s="33">
        <f t="shared" si="5"/>
        <v>0</v>
      </c>
      <c r="AB19" s="12">
        <f>IF(netto&lt;MWZPN,0,IF(O18-SUM($L$11:L18)-K_U_P*B18&lt;=I_prog,1,2))</f>
        <v>2</v>
      </c>
      <c r="AC19" s="12" t="b">
        <f t="shared" si="6"/>
        <v>0</v>
      </c>
      <c r="AD19" s="32">
        <f t="shared" si="7"/>
        <v>0.32</v>
      </c>
      <c r="AE19" s="32">
        <f t="shared" si="12"/>
        <v>0</v>
      </c>
      <c r="AF19" s="37">
        <f>IF(netto&lt;MWZPN,"",IF(O18-SUM($L$11:L18)-K_U_P*B18&lt;=I_prog,ROUND(I_proc*ROUND((Q19-L19-K_U_P),0)-AA19-Y19,0),ROUND(II_proc*ROUND((Q19-L19-K_U_P),0)-AA19-Y19,0)))</f>
        <v>5340</v>
      </c>
      <c r="AG19" s="39">
        <f t="shared" si="8"/>
        <v>7913.02</v>
      </c>
    </row>
    <row r="20" spans="2:33" ht="15" customHeight="1">
      <c r="B20" s="2">
        <v>10</v>
      </c>
      <c r="G20" s="54"/>
      <c r="H20" s="54"/>
      <c r="I20" s="72">
        <f t="shared" si="9"/>
        <v>0</v>
      </c>
      <c r="J20" s="73">
        <f t="shared" si="10"/>
        <v>0</v>
      </c>
      <c r="K20" s="73">
        <f t="shared" si="0"/>
        <v>561.37</v>
      </c>
      <c r="L20" s="94">
        <f t="shared" si="1"/>
        <v>561.37</v>
      </c>
      <c r="M20" s="106" t="str">
        <f>IF(netto&lt;MWZPN,"","październik")</f>
        <v>październik</v>
      </c>
      <c r="N20" s="95">
        <f t="shared" si="2"/>
        <v>15000</v>
      </c>
      <c r="O20" s="96">
        <f>SUM($Q$11:Q20)</f>
        <v>226174</v>
      </c>
      <c r="P20" s="209">
        <f t="shared" si="11"/>
        <v>22913</v>
      </c>
      <c r="Q20" s="170">
        <f>IF(netto&lt;MWZPN,"",ROUND(IF(SUM($Q$11:Q19)+(netto-AD20*K_U_P-AA20)/((1-emeryt-rent-chorob)*(1-zdrow-AD20+zdrow_z_podatku))&lt;=brak_e_r,ROUND((N20-AD20*K_U_P-AA20)/((1-emeryt-rent-chorob)*(1-zdrow-AD20+zdrow_z_podatku)-PPP-AD20*PPS),2),
IF(SUM($Q$11:Q19)+(netto-AD20*K_U_P-AA20)/((1-emeryt-rent-chorob)*(1-zdrow-AD20+zdrow_z_podatku))&lt;=brak_e_r+(netto-AD20*K_U_P-AA20)/((1-emeryt-rent-chorob)*(1-zdrow-AD20+zdrow_z_podatku)-PPP-AD20*PPS),
ROUND(((netto-AD20*K_U_P-AA20)+(emeryt+rent)*(brak_e_r-SUM($Q$11:Q19))*(1-zdrow-AD20+zdrow_z_podatku))/((1-chorob)*(1-zdrow-AD20+zdrow_z_podatku)-PPP-AD20*PPS),2),ROUND((N20-AD20*K_U_P-AA20)/((1-chorob)*(1-zdrow-AD20+zdrow_z_podatku)-PPP-AD20*PPS),2))),0))</f>
        <v>22913</v>
      </c>
      <c r="R20" s="55"/>
      <c r="S20" s="54"/>
      <c r="T20" s="54"/>
      <c r="U20" s="54"/>
      <c r="V20" s="54"/>
      <c r="W20" s="54"/>
      <c r="X20" s="40">
        <f t="shared" si="3"/>
        <v>2011.65</v>
      </c>
      <c r="Y20" s="41">
        <f t="shared" si="4"/>
        <v>1732.2513250000002</v>
      </c>
      <c r="Z20" s="33">
        <f>IF(netto&lt;MWZPN,0,IF(SUM($Q$11:Q20)&lt;=brak_e_r,Q20,IF(SUM($Q$11:Q20)&lt;='umowa o pracę - netto'!brak_e_r+Q20,SUM($Q$11:Q20)-'umowa o pracę - netto'!brak_e_r,0)))</f>
        <v>0</v>
      </c>
      <c r="AA20" s="33">
        <f t="shared" si="5"/>
        <v>0</v>
      </c>
      <c r="AB20" s="12">
        <f>IF(netto&lt;MWZPN,0,IF(O19-SUM($L$11:L19)-K_U_P*B19&lt;=I_prog,1,2))</f>
        <v>2</v>
      </c>
      <c r="AC20" s="12" t="b">
        <f t="shared" si="6"/>
        <v>0</v>
      </c>
      <c r="AD20" s="32">
        <f t="shared" si="7"/>
        <v>0.32</v>
      </c>
      <c r="AE20" s="32">
        <f t="shared" si="12"/>
        <v>0</v>
      </c>
      <c r="AF20" s="37">
        <f>IF(netto&lt;MWZPN,"",IF(O19-SUM($L$11:L19)-K_U_P*B19&lt;=I_prog,ROUND(I_proc*ROUND((Q20-L20-K_U_P),0)-AA20-Y20,0),ROUND(II_proc*ROUND((Q20-L20-K_U_P),0)-AA20-Y20,0)))</f>
        <v>5340</v>
      </c>
      <c r="AG20" s="39">
        <f t="shared" si="8"/>
        <v>7913.02</v>
      </c>
    </row>
    <row r="21" spans="2:33" ht="15" customHeight="1">
      <c r="B21" s="2">
        <v>11</v>
      </c>
      <c r="G21" s="54"/>
      <c r="H21" s="54"/>
      <c r="I21" s="72">
        <f t="shared" si="9"/>
        <v>0</v>
      </c>
      <c r="J21" s="73">
        <f t="shared" si="10"/>
        <v>0</v>
      </c>
      <c r="K21" s="73">
        <f t="shared" si="0"/>
        <v>561.37</v>
      </c>
      <c r="L21" s="94">
        <f t="shared" si="1"/>
        <v>561.37</v>
      </c>
      <c r="M21" s="106" t="str">
        <f>IF(netto&lt;MWZPN,"","listopad")</f>
        <v>listopad</v>
      </c>
      <c r="N21" s="95">
        <f t="shared" si="2"/>
        <v>15000</v>
      </c>
      <c r="O21" s="96">
        <f>SUM($Q$11:Q21)</f>
        <v>249087</v>
      </c>
      <c r="P21" s="209">
        <f t="shared" si="11"/>
        <v>22913</v>
      </c>
      <c r="Q21" s="170">
        <f>IF(netto&lt;MWZPN,"",ROUND(IF(SUM($Q$11:Q20)+(netto-AD21*K_U_P-AA21)/((1-emeryt-rent-chorob)*(1-zdrow-AD21+zdrow_z_podatku))&lt;=brak_e_r,ROUND((N21-AD21*K_U_P-AA21)/((1-emeryt-rent-chorob)*(1-zdrow-AD21+zdrow_z_podatku)-PPP-AD21*PPS),2),
IF(SUM($Q$11:Q20)+(netto-AD21*K_U_P-AA21)/((1-emeryt-rent-chorob)*(1-zdrow-AD21+zdrow_z_podatku))&lt;=brak_e_r+(netto-AD21*K_U_P-AA21)/((1-emeryt-rent-chorob)*(1-zdrow-AD21+zdrow_z_podatku)-PPP-AD21*PPS),
ROUND(((netto-AD21*K_U_P-AA21)+(emeryt+rent)*(brak_e_r-SUM($Q$11:Q20))*(1-zdrow-AD21+zdrow_z_podatku))/((1-chorob)*(1-zdrow-AD21+zdrow_z_podatku)-PPP-AD21*PPS),2),ROUND((N21-AD21*K_U_P-AA21)/((1-chorob)*(1-zdrow-AD21+zdrow_z_podatku)-PPP-AD21*PPS),2))),0))</f>
        <v>22913</v>
      </c>
      <c r="R21" s="55"/>
      <c r="S21" s="54"/>
      <c r="T21" s="54"/>
      <c r="U21" s="54"/>
      <c r="V21" s="54"/>
      <c r="W21" s="54"/>
      <c r="X21" s="40">
        <f t="shared" si="3"/>
        <v>2011.65</v>
      </c>
      <c r="Y21" s="41">
        <f t="shared" si="4"/>
        <v>1732.2513250000002</v>
      </c>
      <c r="Z21" s="33">
        <f>IF(netto&lt;MWZPN,0,IF(SUM($Q$11:Q21)&lt;=brak_e_r,Q21,IF(SUM($Q$11:Q21)&lt;='umowa o pracę - netto'!brak_e_r+Q21,SUM($Q$11:Q21)-'umowa o pracę - netto'!brak_e_r,0)))</f>
        <v>0</v>
      </c>
      <c r="AA21" s="33">
        <f t="shared" si="5"/>
        <v>0</v>
      </c>
      <c r="AB21" s="12">
        <f>IF(netto&lt;MWZPN,0,IF(O20-SUM($L$11:L20)-K_U_P*B20&lt;=I_prog,1,2))</f>
        <v>2</v>
      </c>
      <c r="AC21" s="12" t="b">
        <f t="shared" si="6"/>
        <v>0</v>
      </c>
      <c r="AD21" s="32">
        <f t="shared" si="7"/>
        <v>0.32</v>
      </c>
      <c r="AE21" s="32">
        <f t="shared" si="12"/>
        <v>0</v>
      </c>
      <c r="AF21" s="37">
        <f>IF(netto&lt;MWZPN,"",IF(O20-SUM($L$11:L20)-K_U_P*B20&lt;=I_prog,ROUND(I_proc*ROUND((Q21-L21-K_U_P),0)-AA21-Y21,0),ROUND(II_proc*ROUND((Q21-L21-K_U_P),0)-AA21-Y21,0)))</f>
        <v>5340</v>
      </c>
      <c r="AG21" s="39">
        <f t="shared" si="8"/>
        <v>7913.02</v>
      </c>
    </row>
    <row r="22" spans="2:33" ht="15" customHeight="1" thickBot="1">
      <c r="B22" s="2">
        <v>12</v>
      </c>
      <c r="G22" s="54"/>
      <c r="H22" s="54"/>
      <c r="I22" s="72">
        <f t="shared" si="9"/>
        <v>0</v>
      </c>
      <c r="J22" s="73">
        <f t="shared" si="10"/>
        <v>0</v>
      </c>
      <c r="K22" s="73">
        <f t="shared" si="0"/>
        <v>561.37</v>
      </c>
      <c r="L22" s="97">
        <f t="shared" si="1"/>
        <v>561.37</v>
      </c>
      <c r="M22" s="107" t="str">
        <f>IF(netto&lt;MWZPN,"","grudzień")</f>
        <v>grudzień</v>
      </c>
      <c r="N22" s="98">
        <f t="shared" si="2"/>
        <v>15000</v>
      </c>
      <c r="O22" s="96">
        <f>SUM($Q$11:Q22)</f>
        <v>272000</v>
      </c>
      <c r="P22" s="209">
        <f t="shared" si="11"/>
        <v>22913</v>
      </c>
      <c r="Q22" s="170">
        <f>IF(netto&lt;MWZPN,"",ROUND(IF(SUM($Q$11:Q21)+(netto-AD22*K_U_P-AA22)/((1-emeryt-rent-chorob)*(1-zdrow-AD22+zdrow_z_podatku))&lt;=brak_e_r,ROUND((N22-AD22*K_U_P-AA22)/((1-emeryt-rent-chorob)*(1-zdrow-AD22+zdrow_z_podatku)-PPP-AD22*PPS),2),
IF(SUM($Q$11:Q21)+(netto-AD22*K_U_P-AA22)/((1-emeryt-rent-chorob)*(1-zdrow-AD22+zdrow_z_podatku))&lt;=brak_e_r+(netto-AD22*K_U_P-AA22)/((1-emeryt-rent-chorob)*(1-zdrow-AD22+zdrow_z_podatku)-PPP-AD22*PPS),
ROUND(((netto-AD22*K_U_P-AA22)+(emeryt+rent)*(brak_e_r-SUM($Q$11:Q21))*(1-zdrow-AD22+zdrow_z_podatku))/((1-chorob)*(1-zdrow-AD22+zdrow_z_podatku)-PPP-AD22*PPS),2),ROUND((N22-AD22*K_U_P-AA22)/((1-chorob)*(1-zdrow-AD22+zdrow_z_podatku)-PPP-AD22*PPS),2))),0))</f>
        <v>22913</v>
      </c>
      <c r="R22" s="55"/>
      <c r="S22" s="54"/>
      <c r="T22" s="54"/>
      <c r="U22" s="54"/>
      <c r="V22" s="54"/>
      <c r="W22" s="54"/>
      <c r="X22" s="40">
        <f t="shared" si="3"/>
        <v>2011.65</v>
      </c>
      <c r="Y22" s="41">
        <f t="shared" si="4"/>
        <v>1732.2513250000002</v>
      </c>
      <c r="Z22" s="33">
        <f>IF(netto&lt;MWZPN,0,IF(SUM($Q$11:Q22)&lt;=brak_e_r,Q22,IF(SUM($Q$11:Q22)&lt;='umowa o pracę - netto'!brak_e_r+Q22,SUM($Q$11:Q22)-'umowa o pracę - netto'!brak_e_r,0)))</f>
        <v>0</v>
      </c>
      <c r="AA22" s="33">
        <f t="shared" si="5"/>
        <v>0</v>
      </c>
      <c r="AB22" s="12">
        <f>IF(netto&lt;MWZPN,0,IF(O21-SUM($L$11:L21)-K_U_P*B21&lt;=I_prog,1,2))</f>
        <v>2</v>
      </c>
      <c r="AC22" s="12" t="b">
        <f t="shared" si="6"/>
        <v>0</v>
      </c>
      <c r="AD22" s="32">
        <f t="shared" si="7"/>
        <v>0.32</v>
      </c>
      <c r="AE22" s="32">
        <f t="shared" si="12"/>
        <v>0</v>
      </c>
      <c r="AF22" s="37">
        <f>IF(netto&lt;MWZPN,"",IF(O21-SUM($L$11:L21)-K_U_P*B21&lt;=I_prog,ROUND(I_proc*ROUND((Q22-L22-K_U_P),0)-AA22-Y22,0),ROUND(II_proc*ROUND((Q22-L22-K_U_P),0)-AA22-Y22,0)))</f>
        <v>5340</v>
      </c>
      <c r="AG22" s="44">
        <f t="shared" si="8"/>
        <v>7913.02</v>
      </c>
    </row>
    <row r="23" spans="2:33" s="24" customFormat="1" ht="15" customHeight="1" thickBot="1">
      <c r="B23" s="2"/>
      <c r="G23" s="81"/>
      <c r="H23" s="81"/>
      <c r="I23" s="78">
        <f>IF(netto&lt;MWZPN,"",SUM(I11:I22))</f>
        <v>14839.989999999998</v>
      </c>
      <c r="J23" s="79">
        <f>IF(netto&lt;MWZPN,"",SUM(J11:J22))</f>
        <v>2352.16</v>
      </c>
      <c r="K23" s="79">
        <f>IF(netto&lt;MWZPN,"",SUM(K11:K22))</f>
        <v>6664.0099999999993</v>
      </c>
      <c r="L23" s="80">
        <f>IF(netto&lt;MWZPN,"",SUM(L11:L22))</f>
        <v>23856.159999999993</v>
      </c>
      <c r="M23" s="108" t="s">
        <v>34</v>
      </c>
      <c r="N23" s="109">
        <f>IF(netto&lt;MWZPN,"",SUM(N11:N22))</f>
        <v>180000</v>
      </c>
      <c r="O23" s="109">
        <f>O22</f>
        <v>272000</v>
      </c>
      <c r="P23" s="210">
        <f>IF(netto&lt;MWZPN,"",SUM(P11:P22))</f>
        <v>272000</v>
      </c>
      <c r="Q23" s="171">
        <f>IF(netto&lt;MWZPN,"",SUM(Q11:Q22))</f>
        <v>272000</v>
      </c>
      <c r="R23" s="81"/>
      <c r="S23" s="81"/>
      <c r="T23" s="81"/>
      <c r="U23" s="81"/>
      <c r="V23" s="81"/>
      <c r="W23" s="81"/>
      <c r="X23" s="13">
        <f>IF(netto&lt;MWZPN,"",SUM(X11:X22))</f>
        <v>22332.970000000005</v>
      </c>
      <c r="Y23" s="42">
        <f>IF(netto&lt;MWZPN,"",SUM(Y11:Y22))</f>
        <v>19231.147600000004</v>
      </c>
      <c r="Z23" s="43"/>
      <c r="AA23" s="43"/>
      <c r="AB23" s="43"/>
      <c r="AC23" s="43"/>
      <c r="AD23" s="43"/>
      <c r="AE23" s="43"/>
      <c r="AF23" s="38">
        <f t="shared" ref="AF23:AG23" si="13">IF(netto&lt;MWZPN,"",SUM(AF11:AF22))</f>
        <v>45498</v>
      </c>
      <c r="AG23" s="35">
        <f t="shared" si="13"/>
        <v>91687.130000000019</v>
      </c>
    </row>
    <row r="24" spans="2:33" ht="6" customHeight="1" thickBot="1">
      <c r="G24" s="54"/>
      <c r="H24" s="54"/>
      <c r="I24" s="54"/>
      <c r="J24" s="54"/>
      <c r="K24" s="54"/>
      <c r="L24" s="54"/>
      <c r="M24" s="53"/>
      <c r="N24" s="54"/>
      <c r="O24" s="54"/>
      <c r="P24" s="54"/>
      <c r="Q24" s="54"/>
      <c r="R24" s="55"/>
      <c r="S24" s="54"/>
      <c r="T24" s="54"/>
      <c r="U24" s="54"/>
      <c r="V24" s="54"/>
      <c r="W24" s="54"/>
    </row>
    <row r="25" spans="2:33" ht="13.5" thickBot="1">
      <c r="G25" s="54"/>
      <c r="H25" s="54"/>
      <c r="I25" s="54"/>
      <c r="J25" s="99" t="e">
        <f>IF(netto&lt;MWZPN,"",IF(netto="","""",(#REF!-N23)/#REF!))</f>
        <v>#REF!</v>
      </c>
      <c r="K25" s="100" t="s">
        <v>27</v>
      </c>
      <c r="L25" s="54"/>
      <c r="M25" s="53"/>
      <c r="N25" s="54"/>
      <c r="O25" s="54"/>
      <c r="P25" s="190" t="str">
        <f>IF(netto&lt;MWZPN,"",IF($AB$22&gt;=1,"I próg podatkowy",""))</f>
        <v>I próg podatkowy</v>
      </c>
      <c r="Q25" s="190" t="str">
        <f>IF(netto&lt;MWZPN,"",IF($AB$22&gt;=1,"I próg podatkowy",""))</f>
        <v>I próg podatkowy</v>
      </c>
      <c r="R25" s="55"/>
      <c r="S25" s="54"/>
      <c r="T25" s="101"/>
      <c r="U25" s="54"/>
      <c r="V25" s="54"/>
      <c r="W25" s="54"/>
    </row>
    <row r="26" spans="2:33" ht="13.5" thickBot="1">
      <c r="G26" s="54"/>
      <c r="H26" s="54"/>
      <c r="I26" s="54"/>
      <c r="J26" s="99" t="e">
        <f>IF(netto&lt;MWZPN,"",IF(netto="","""",#REF!/N23))</f>
        <v>#REF!</v>
      </c>
      <c r="K26" s="100" t="s">
        <v>26</v>
      </c>
      <c r="L26" s="54"/>
      <c r="M26" s="53"/>
      <c r="N26" s="54"/>
      <c r="O26" s="54"/>
      <c r="P26" s="190" t="str">
        <f>IF(netto&lt;MWZPN,"",IF($AB$22&gt;=2,"II próg podatkowy",""))</f>
        <v>II próg podatkowy</v>
      </c>
      <c r="Q26" s="190" t="str">
        <f>IF(netto&lt;MWZPN,"",IF($AB$22&gt;=2,"II próg podatkowy",""))</f>
        <v>II próg podatkowy</v>
      </c>
      <c r="R26" s="55"/>
      <c r="S26" s="54"/>
      <c r="T26" s="101"/>
      <c r="U26" s="54"/>
      <c r="V26" s="54"/>
      <c r="W26" s="54"/>
    </row>
    <row r="27" spans="2:33">
      <c r="F27" s="23"/>
    </row>
    <row r="28" spans="2:33" ht="13">
      <c r="G28" s="295"/>
      <c r="H28" s="295"/>
    </row>
    <row r="29" spans="2:33">
      <c r="G29" s="23"/>
    </row>
    <row r="30" spans="2:33">
      <c r="F30" s="23"/>
      <c r="S30" s="1"/>
      <c r="T30" s="1"/>
      <c r="U30" s="1"/>
      <c r="V30" s="1"/>
      <c r="W30" s="1"/>
    </row>
    <row r="33" spans="5:23">
      <c r="S33" s="1"/>
      <c r="T33" s="1"/>
      <c r="U33" s="1"/>
      <c r="V33" s="1"/>
      <c r="W33" s="1"/>
    </row>
    <row r="34" spans="5:23">
      <c r="E34" s="25"/>
      <c r="F34" s="25"/>
      <c r="S34" s="1"/>
      <c r="T34" s="1"/>
      <c r="U34" s="1"/>
      <c r="V34" s="1"/>
      <c r="W34" s="1"/>
    </row>
    <row r="35" spans="5:23">
      <c r="S35" s="1"/>
      <c r="T35" s="1"/>
      <c r="U35" s="1"/>
      <c r="V35" s="1"/>
      <c r="W35" s="1"/>
    </row>
    <row r="36" spans="5:23">
      <c r="S36" s="1"/>
      <c r="T36" s="1"/>
      <c r="U36" s="1"/>
      <c r="V36" s="1"/>
      <c r="W36" s="1"/>
    </row>
    <row r="37" spans="5:23">
      <c r="S37" s="1"/>
      <c r="T37" s="1"/>
      <c r="U37" s="1"/>
      <c r="V37" s="1"/>
      <c r="W37" s="1"/>
    </row>
    <row r="38" spans="5:23">
      <c r="S38" s="1"/>
      <c r="T38" s="1"/>
      <c r="U38" s="1"/>
      <c r="V38" s="1"/>
      <c r="W38" s="1"/>
    </row>
    <row r="39" spans="5:23">
      <c r="S39" s="1"/>
      <c r="T39" s="1"/>
      <c r="U39" s="1"/>
      <c r="V39" s="1"/>
      <c r="W39" s="1"/>
    </row>
    <row r="40" spans="5:23">
      <c r="S40" s="1"/>
      <c r="T40" s="1"/>
      <c r="U40" s="1"/>
      <c r="V40" s="1"/>
      <c r="W40" s="1"/>
    </row>
    <row r="41" spans="5:23">
      <c r="S41" s="1"/>
      <c r="T41" s="1"/>
      <c r="U41" s="1"/>
      <c r="V41" s="1"/>
      <c r="W41" s="1"/>
    </row>
    <row r="42" spans="5:23">
      <c r="S42" s="1"/>
      <c r="T42" s="1"/>
      <c r="U42" s="1"/>
      <c r="V42" s="1"/>
      <c r="W42" s="1"/>
    </row>
    <row r="43" spans="5:23">
      <c r="S43" s="1"/>
      <c r="T43" s="1"/>
      <c r="U43" s="1"/>
      <c r="V43" s="1"/>
      <c r="W43" s="1"/>
    </row>
    <row r="44" spans="5:23">
      <c r="S44" s="1"/>
      <c r="T44" s="1"/>
      <c r="U44" s="1"/>
      <c r="V44" s="1"/>
      <c r="W44" s="1"/>
    </row>
    <row r="45" spans="5:23">
      <c r="S45" s="1"/>
      <c r="T45" s="1"/>
      <c r="U45" s="1"/>
      <c r="V45" s="1"/>
      <c r="W45" s="1"/>
    </row>
    <row r="46" spans="5:23">
      <c r="S46" s="1"/>
      <c r="T46" s="1"/>
      <c r="U46" s="1"/>
      <c r="V46" s="1"/>
      <c r="W46" s="1"/>
    </row>
    <row r="47" spans="5:23">
      <c r="S47" s="1"/>
      <c r="T47" s="1"/>
      <c r="U47" s="1"/>
      <c r="V47" s="1"/>
      <c r="W47" s="1"/>
    </row>
    <row r="48" spans="5:23">
      <c r="S48" s="1"/>
      <c r="T48" s="1"/>
      <c r="U48" s="1"/>
      <c r="V48" s="1"/>
      <c r="W48" s="1"/>
    </row>
    <row r="49" spans="19:23">
      <c r="S49" s="1"/>
      <c r="T49" s="1"/>
      <c r="U49" s="1"/>
      <c r="V49" s="1"/>
      <c r="W49" s="1"/>
    </row>
    <row r="50" spans="19:23">
      <c r="S50" s="1"/>
      <c r="T50" s="1"/>
      <c r="U50" s="1"/>
      <c r="V50" s="1"/>
      <c r="W50" s="1"/>
    </row>
    <row r="51" spans="19:23">
      <c r="S51" s="1"/>
      <c r="T51" s="1"/>
      <c r="U51" s="1"/>
      <c r="V51" s="1"/>
      <c r="W51" s="1"/>
    </row>
    <row r="52" spans="19:23">
      <c r="S52" s="1"/>
      <c r="T52" s="1"/>
      <c r="U52" s="1"/>
      <c r="V52" s="1"/>
      <c r="W52" s="1"/>
    </row>
    <row r="53" spans="19:23">
      <c r="S53" s="1"/>
      <c r="T53" s="1"/>
      <c r="U53" s="1"/>
      <c r="V53" s="1"/>
      <c r="W53" s="1"/>
    </row>
    <row r="54" spans="19:23">
      <c r="S54" s="1"/>
      <c r="T54" s="1"/>
      <c r="U54" s="1"/>
      <c r="V54" s="1"/>
      <c r="W54" s="1"/>
    </row>
    <row r="55" spans="19:23">
      <c r="S55" s="1"/>
      <c r="T55" s="1"/>
      <c r="U55" s="1"/>
      <c r="V55" s="1"/>
      <c r="W55" s="1"/>
    </row>
    <row r="56" spans="19:23">
      <c r="S56" s="1"/>
      <c r="T56" s="1"/>
      <c r="U56" s="1"/>
      <c r="V56" s="1"/>
      <c r="W56" s="1"/>
    </row>
    <row r="57" spans="19:23">
      <c r="S57" s="1"/>
      <c r="T57" s="1"/>
      <c r="U57" s="1"/>
      <c r="V57" s="1"/>
      <c r="W57" s="1"/>
    </row>
    <row r="58" spans="19:23">
      <c r="S58" s="1"/>
      <c r="T58" s="1"/>
      <c r="U58" s="1"/>
      <c r="V58" s="1"/>
      <c r="W58" s="1"/>
    </row>
    <row r="59" spans="19:23">
      <c r="S59" s="1"/>
      <c r="T59" s="1"/>
      <c r="U59" s="1"/>
      <c r="V59" s="1"/>
      <c r="W59" s="1"/>
    </row>
    <row r="60" spans="19:23">
      <c r="S60" s="1"/>
      <c r="T60" s="1"/>
      <c r="U60" s="1"/>
      <c r="V60" s="1"/>
      <c r="W60" s="1"/>
    </row>
    <row r="61" spans="19:23">
      <c r="S61" s="1"/>
      <c r="T61" s="1"/>
      <c r="U61" s="1"/>
      <c r="V61" s="1"/>
      <c r="W61" s="1"/>
    </row>
    <row r="62" spans="19:23">
      <c r="S62" s="1"/>
      <c r="T62" s="1"/>
      <c r="U62" s="1"/>
      <c r="V62" s="1"/>
      <c r="W62" s="1"/>
    </row>
    <row r="63" spans="19:23">
      <c r="S63" s="1"/>
      <c r="T63" s="1"/>
      <c r="U63" s="1"/>
      <c r="V63" s="1"/>
      <c r="W63" s="1"/>
    </row>
    <row r="64" spans="19:23">
      <c r="S64" s="1"/>
      <c r="T64" s="1"/>
      <c r="U64" s="1"/>
      <c r="V64" s="1"/>
      <c r="W64" s="1"/>
    </row>
    <row r="65" spans="19:23">
      <c r="S65" s="1"/>
      <c r="T65" s="1"/>
      <c r="U65" s="1"/>
      <c r="V65" s="1"/>
      <c r="W65" s="1"/>
    </row>
    <row r="66" spans="19:23">
      <c r="S66" s="1"/>
      <c r="T66" s="1"/>
      <c r="U66" s="1"/>
      <c r="V66" s="1"/>
      <c r="W66" s="1"/>
    </row>
    <row r="67" spans="19:23">
      <c r="S67" s="1"/>
      <c r="T67" s="1"/>
      <c r="U67" s="1"/>
      <c r="V67" s="1"/>
      <c r="W67" s="1"/>
    </row>
    <row r="68" spans="19:23">
      <c r="S68" s="1"/>
      <c r="T68" s="1"/>
      <c r="U68" s="1"/>
      <c r="V68" s="1"/>
      <c r="W68" s="1"/>
    </row>
    <row r="69" spans="19:23">
      <c r="S69" s="1"/>
      <c r="T69" s="1"/>
      <c r="U69" s="1"/>
      <c r="V69" s="1"/>
      <c r="W69" s="1"/>
    </row>
    <row r="70" spans="19:23">
      <c r="S70" s="1"/>
      <c r="T70" s="1"/>
      <c r="U70" s="1"/>
      <c r="V70" s="1"/>
      <c r="W70" s="1"/>
    </row>
    <row r="71" spans="19:23">
      <c r="S71" s="1"/>
      <c r="T71" s="1"/>
      <c r="U71" s="1"/>
      <c r="V71" s="1"/>
      <c r="W71" s="1"/>
    </row>
    <row r="72" spans="19:23">
      <c r="S72" s="1"/>
      <c r="T72" s="1"/>
      <c r="U72" s="1"/>
      <c r="V72" s="1"/>
      <c r="W72" s="1"/>
    </row>
    <row r="73" spans="19:23">
      <c r="S73" s="1"/>
      <c r="T73" s="1"/>
      <c r="U73" s="1"/>
      <c r="V73" s="1"/>
      <c r="W73" s="1"/>
    </row>
    <row r="74" spans="19:23">
      <c r="S74" s="1"/>
      <c r="T74" s="1"/>
      <c r="U74" s="1"/>
      <c r="V74" s="1"/>
      <c r="W74" s="1"/>
    </row>
    <row r="75" spans="19:23">
      <c r="S75" s="1"/>
      <c r="T75" s="1"/>
      <c r="U75" s="1"/>
      <c r="V75" s="1"/>
      <c r="W75" s="1"/>
    </row>
    <row r="76" spans="19:23">
      <c r="S76" s="1"/>
      <c r="T76" s="1"/>
      <c r="U76" s="1"/>
      <c r="V76" s="1"/>
      <c r="W76" s="1"/>
    </row>
    <row r="77" spans="19:23">
      <c r="S77" s="1"/>
      <c r="T77" s="1"/>
      <c r="U77" s="1"/>
      <c r="V77" s="1"/>
      <c r="W77" s="1"/>
    </row>
    <row r="78" spans="19:23">
      <c r="S78" s="1"/>
      <c r="T78" s="1"/>
      <c r="U78" s="1"/>
      <c r="V78" s="1"/>
      <c r="W78" s="1"/>
    </row>
    <row r="79" spans="19:23">
      <c r="S79" s="1"/>
      <c r="T79" s="1"/>
      <c r="U79" s="1"/>
      <c r="V79" s="1"/>
      <c r="W79" s="1"/>
    </row>
    <row r="80" spans="19:23">
      <c r="S80" s="1"/>
      <c r="T80" s="1"/>
      <c r="U80" s="1"/>
      <c r="V80" s="1"/>
      <c r="W80" s="1"/>
    </row>
    <row r="81" spans="19:23">
      <c r="S81" s="1"/>
      <c r="T81" s="1"/>
      <c r="U81" s="1"/>
      <c r="V81" s="1"/>
      <c r="W81" s="1"/>
    </row>
    <row r="82" spans="19:23">
      <c r="S82" s="1"/>
      <c r="T82" s="1"/>
      <c r="U82" s="1"/>
      <c r="V82" s="1"/>
      <c r="W82" s="1"/>
    </row>
    <row r="83" spans="19:23">
      <c r="S83" s="1"/>
      <c r="T83" s="1"/>
      <c r="U83" s="1"/>
      <c r="V83" s="1"/>
      <c r="W83" s="1"/>
    </row>
    <row r="84" spans="19:23">
      <c r="S84" s="1"/>
      <c r="T84" s="1"/>
      <c r="U84" s="1"/>
      <c r="V84" s="1"/>
      <c r="W84" s="1"/>
    </row>
    <row r="85" spans="19:23">
      <c r="S85" s="1"/>
      <c r="T85" s="1"/>
      <c r="U85" s="1"/>
      <c r="V85" s="1"/>
      <c r="W85" s="1"/>
    </row>
    <row r="86" spans="19:23">
      <c r="S86" s="1"/>
      <c r="T86" s="1"/>
      <c r="U86" s="1"/>
      <c r="V86" s="1"/>
      <c r="W86" s="1"/>
    </row>
    <row r="87" spans="19:23">
      <c r="S87" s="1"/>
      <c r="T87" s="1"/>
      <c r="U87" s="1"/>
      <c r="V87" s="1"/>
      <c r="W87" s="1"/>
    </row>
    <row r="88" spans="19:23">
      <c r="S88" s="1"/>
      <c r="T88" s="1"/>
      <c r="U88" s="1"/>
      <c r="V88" s="1"/>
      <c r="W88" s="1"/>
    </row>
    <row r="89" spans="19:23">
      <c r="S89" s="1"/>
      <c r="T89" s="1"/>
      <c r="U89" s="1"/>
      <c r="V89" s="1"/>
      <c r="W89" s="1"/>
    </row>
    <row r="90" spans="19:23">
      <c r="S90" s="1"/>
      <c r="T90" s="1"/>
      <c r="U90" s="1"/>
      <c r="V90" s="1"/>
      <c r="W90" s="1"/>
    </row>
    <row r="91" spans="19:23">
      <c r="S91" s="1"/>
      <c r="T91" s="1"/>
      <c r="U91" s="1"/>
      <c r="V91" s="1"/>
      <c r="W91" s="1"/>
    </row>
    <row r="92" spans="19:23">
      <c r="S92" s="1"/>
      <c r="T92" s="1"/>
      <c r="U92" s="1"/>
      <c r="V92" s="1"/>
      <c r="W92" s="1"/>
    </row>
    <row r="93" spans="19:23">
      <c r="S93" s="1"/>
      <c r="T93" s="1"/>
      <c r="U93" s="1"/>
      <c r="V93" s="1"/>
      <c r="W93" s="1"/>
    </row>
    <row r="94" spans="19:23">
      <c r="S94" s="1"/>
      <c r="T94" s="1"/>
      <c r="U94" s="1"/>
      <c r="V94" s="1"/>
      <c r="W94" s="1"/>
    </row>
    <row r="95" spans="19:23">
      <c r="S95" s="1"/>
      <c r="T95" s="1"/>
      <c r="U95" s="1"/>
      <c r="V95" s="1"/>
      <c r="W95" s="1"/>
    </row>
    <row r="96" spans="19:23">
      <c r="S96" s="1"/>
      <c r="T96" s="1"/>
      <c r="U96" s="1"/>
      <c r="V96" s="1"/>
      <c r="W96" s="1"/>
    </row>
    <row r="97" spans="19:23">
      <c r="S97" s="1"/>
      <c r="T97" s="1"/>
      <c r="U97" s="1"/>
      <c r="V97" s="1"/>
      <c r="W97" s="1"/>
    </row>
    <row r="98" spans="19:23">
      <c r="S98" s="1"/>
      <c r="T98" s="1"/>
      <c r="U98" s="1"/>
      <c r="V98" s="1"/>
      <c r="W98" s="1"/>
    </row>
    <row r="99" spans="19:23">
      <c r="S99" s="1"/>
      <c r="T99" s="1"/>
      <c r="U99" s="1"/>
      <c r="V99" s="1"/>
      <c r="W99" s="1"/>
    </row>
    <row r="100" spans="19:23">
      <c r="S100" s="1"/>
      <c r="T100" s="1"/>
      <c r="U100" s="1"/>
      <c r="V100" s="1"/>
      <c r="W100" s="1"/>
    </row>
    <row r="101" spans="19:23">
      <c r="S101" s="1"/>
      <c r="T101" s="1"/>
      <c r="U101" s="1"/>
      <c r="V101" s="1"/>
      <c r="W101" s="1"/>
    </row>
    <row r="102" spans="19:23">
      <c r="S102" s="1"/>
      <c r="T102" s="1"/>
      <c r="U102" s="1"/>
      <c r="V102" s="1"/>
      <c r="W102" s="1"/>
    </row>
    <row r="103" spans="19:23">
      <c r="S103" s="1"/>
      <c r="T103" s="1"/>
      <c r="U103" s="1"/>
      <c r="V103" s="1"/>
      <c r="W103" s="1"/>
    </row>
    <row r="104" spans="19:23">
      <c r="S104" s="1"/>
      <c r="T104" s="1"/>
      <c r="U104" s="1"/>
      <c r="V104" s="1"/>
      <c r="W104" s="1"/>
    </row>
    <row r="105" spans="19:23">
      <c r="S105" s="1"/>
      <c r="T105" s="1"/>
      <c r="U105" s="1"/>
      <c r="V105" s="1"/>
      <c r="W105" s="1"/>
    </row>
    <row r="106" spans="19:23">
      <c r="S106" s="1"/>
      <c r="T106" s="1"/>
      <c r="U106" s="1"/>
      <c r="V106" s="1"/>
      <c r="W106" s="1"/>
    </row>
    <row r="107" spans="19:23">
      <c r="S107" s="1"/>
      <c r="T107" s="1"/>
      <c r="U107" s="1"/>
      <c r="V107" s="1"/>
      <c r="W107" s="1"/>
    </row>
    <row r="108" spans="19:23">
      <c r="S108" s="1"/>
      <c r="T108" s="1"/>
      <c r="U108" s="1"/>
      <c r="V108" s="1"/>
      <c r="W108" s="1"/>
    </row>
    <row r="109" spans="19:23">
      <c r="S109" s="1"/>
      <c r="T109" s="1"/>
      <c r="U109" s="1"/>
      <c r="V109" s="1"/>
      <c r="W109" s="1"/>
    </row>
    <row r="110" spans="19:23">
      <c r="S110" s="1"/>
      <c r="T110" s="1"/>
      <c r="U110" s="1"/>
      <c r="V110" s="1"/>
      <c r="W110" s="1"/>
    </row>
    <row r="111" spans="19:23">
      <c r="S111" s="1"/>
      <c r="T111" s="1"/>
      <c r="U111" s="1"/>
      <c r="V111" s="1"/>
      <c r="W111" s="1"/>
    </row>
    <row r="112" spans="19:23">
      <c r="S112" s="1"/>
      <c r="T112" s="1"/>
      <c r="U112" s="1"/>
      <c r="V112" s="1"/>
      <c r="W112" s="1"/>
    </row>
    <row r="113" spans="19:23">
      <c r="S113" s="1"/>
      <c r="T113" s="1"/>
      <c r="U113" s="1"/>
      <c r="V113" s="1"/>
      <c r="W113" s="1"/>
    </row>
    <row r="114" spans="19:23">
      <c r="S114" s="1"/>
      <c r="T114" s="1"/>
      <c r="U114" s="1"/>
      <c r="V114" s="1"/>
      <c r="W114" s="1"/>
    </row>
    <row r="115" spans="19:23">
      <c r="S115" s="1"/>
      <c r="T115" s="1"/>
      <c r="U115" s="1"/>
      <c r="V115" s="1"/>
      <c r="W115" s="1"/>
    </row>
    <row r="116" spans="19:23">
      <c r="S116" s="1"/>
      <c r="T116" s="1"/>
      <c r="U116" s="1"/>
      <c r="V116" s="1"/>
      <c r="W116" s="1"/>
    </row>
    <row r="117" spans="19:23">
      <c r="S117" s="1"/>
      <c r="T117" s="1"/>
      <c r="U117" s="1"/>
      <c r="V117" s="1"/>
      <c r="W117" s="1"/>
    </row>
    <row r="118" spans="19:23">
      <c r="S118" s="1"/>
      <c r="T118" s="1"/>
      <c r="U118" s="1"/>
      <c r="V118" s="1"/>
      <c r="W118" s="1"/>
    </row>
    <row r="119" spans="19:23">
      <c r="S119" s="1"/>
      <c r="T119" s="1"/>
      <c r="U119" s="1"/>
      <c r="V119" s="1"/>
      <c r="W119" s="1"/>
    </row>
    <row r="120" spans="19:23">
      <c r="S120" s="1"/>
      <c r="T120" s="1"/>
      <c r="U120" s="1"/>
      <c r="V120" s="1"/>
      <c r="W120" s="1"/>
    </row>
    <row r="121" spans="19:23">
      <c r="S121" s="1"/>
      <c r="T121" s="1"/>
      <c r="U121" s="1"/>
      <c r="V121" s="1"/>
      <c r="W121" s="1"/>
    </row>
    <row r="122" spans="19:23">
      <c r="S122" s="1"/>
      <c r="T122" s="1"/>
      <c r="U122" s="1"/>
      <c r="V122" s="1"/>
      <c r="W122" s="1"/>
    </row>
    <row r="123" spans="19:23">
      <c r="S123" s="1"/>
      <c r="T123" s="1"/>
      <c r="U123" s="1"/>
      <c r="V123" s="1"/>
      <c r="W123" s="1"/>
    </row>
    <row r="124" spans="19:23">
      <c r="S124" s="1"/>
      <c r="T124" s="1"/>
      <c r="U124" s="1"/>
      <c r="V124" s="1"/>
      <c r="W124" s="1"/>
    </row>
    <row r="125" spans="19:23">
      <c r="S125" s="1"/>
      <c r="T125" s="1"/>
      <c r="U125" s="1"/>
      <c r="V125" s="1"/>
      <c r="W125" s="1"/>
    </row>
    <row r="126" spans="19:23">
      <c r="S126" s="1"/>
      <c r="T126" s="1"/>
      <c r="U126" s="1"/>
      <c r="V126" s="1"/>
      <c r="W126" s="1"/>
    </row>
    <row r="127" spans="19:23">
      <c r="S127" s="1"/>
      <c r="T127" s="1"/>
      <c r="U127" s="1"/>
      <c r="V127" s="1"/>
      <c r="W127" s="1"/>
    </row>
    <row r="128" spans="19:23">
      <c r="S128" s="1"/>
      <c r="T128" s="1"/>
      <c r="U128" s="1"/>
      <c r="V128" s="1"/>
      <c r="W128" s="1"/>
    </row>
    <row r="129" spans="19:23">
      <c r="S129" s="1"/>
      <c r="T129" s="1"/>
      <c r="U129" s="1"/>
      <c r="V129" s="1"/>
      <c r="W129" s="1"/>
    </row>
    <row r="130" spans="19:23">
      <c r="S130" s="1"/>
      <c r="T130" s="1"/>
      <c r="U130" s="1"/>
      <c r="V130" s="1"/>
      <c r="W130" s="1"/>
    </row>
    <row r="131" spans="19:23">
      <c r="S131" s="1"/>
      <c r="T131" s="1"/>
      <c r="U131" s="1"/>
      <c r="V131" s="1"/>
      <c r="W131" s="1"/>
    </row>
    <row r="132" spans="19:23">
      <c r="S132" s="1"/>
      <c r="T132" s="1"/>
      <c r="U132" s="1"/>
      <c r="V132" s="1"/>
      <c r="W132" s="1"/>
    </row>
    <row r="133" spans="19:23">
      <c r="S133" s="1"/>
      <c r="T133" s="1"/>
      <c r="U133" s="1"/>
      <c r="V133" s="1"/>
      <c r="W133" s="1"/>
    </row>
    <row r="134" spans="19:23">
      <c r="S134" s="1"/>
      <c r="T134" s="1"/>
      <c r="U134" s="1"/>
      <c r="V134" s="1"/>
      <c r="W134" s="1"/>
    </row>
    <row r="135" spans="19:23">
      <c r="S135" s="1"/>
      <c r="T135" s="1"/>
      <c r="U135" s="1"/>
      <c r="V135" s="1"/>
      <c r="W135" s="1"/>
    </row>
    <row r="136" spans="19:23">
      <c r="S136" s="1"/>
      <c r="T136" s="1"/>
      <c r="U136" s="1"/>
      <c r="V136" s="1"/>
      <c r="W136" s="1"/>
    </row>
    <row r="137" spans="19:23">
      <c r="S137" s="1"/>
      <c r="T137" s="1"/>
      <c r="U137" s="1"/>
      <c r="V137" s="1"/>
      <c r="W137" s="1"/>
    </row>
    <row r="138" spans="19:23">
      <c r="S138" s="1"/>
      <c r="T138" s="1"/>
      <c r="U138" s="1"/>
      <c r="V138" s="1"/>
      <c r="W138" s="1"/>
    </row>
    <row r="139" spans="19:23">
      <c r="S139" s="1"/>
      <c r="T139" s="1"/>
      <c r="U139" s="1"/>
      <c r="V139" s="1"/>
      <c r="W139" s="1"/>
    </row>
    <row r="140" spans="19:23">
      <c r="S140" s="1"/>
      <c r="T140" s="1"/>
      <c r="U140" s="1"/>
      <c r="V140" s="1"/>
      <c r="W140" s="1"/>
    </row>
    <row r="141" spans="19:23">
      <c r="S141" s="1"/>
      <c r="T141" s="1"/>
      <c r="U141" s="1"/>
      <c r="V141" s="1"/>
      <c r="W141" s="1"/>
    </row>
    <row r="142" spans="19:23">
      <c r="S142" s="1"/>
      <c r="T142" s="1"/>
      <c r="U142" s="1"/>
      <c r="V142" s="1"/>
      <c r="W142" s="1"/>
    </row>
    <row r="143" spans="19:23">
      <c r="S143" s="1"/>
      <c r="T143" s="1"/>
      <c r="U143" s="1"/>
      <c r="V143" s="1"/>
      <c r="W143" s="1"/>
    </row>
    <row r="144" spans="19:23">
      <c r="S144" s="1"/>
      <c r="T144" s="1"/>
      <c r="U144" s="1"/>
      <c r="V144" s="1"/>
      <c r="W144" s="1"/>
    </row>
    <row r="145" spans="19:23">
      <c r="S145" s="1"/>
      <c r="T145" s="1"/>
      <c r="U145" s="1"/>
      <c r="V145" s="1"/>
      <c r="W145" s="1"/>
    </row>
    <row r="146" spans="19:23">
      <c r="S146" s="1"/>
      <c r="T146" s="1"/>
      <c r="U146" s="1"/>
      <c r="V146" s="1"/>
      <c r="W146" s="1"/>
    </row>
    <row r="147" spans="19:23">
      <c r="S147" s="1"/>
      <c r="T147" s="1"/>
      <c r="U147" s="1"/>
      <c r="V147" s="1"/>
      <c r="W147" s="1"/>
    </row>
    <row r="148" spans="19:23">
      <c r="S148" s="1"/>
      <c r="T148" s="1"/>
      <c r="U148" s="1"/>
      <c r="V148" s="1"/>
      <c r="W148" s="1"/>
    </row>
    <row r="149" spans="19:23">
      <c r="S149" s="1"/>
      <c r="T149" s="1"/>
      <c r="U149" s="1"/>
      <c r="V149" s="1"/>
      <c r="W149" s="1"/>
    </row>
    <row r="150" spans="19:23">
      <c r="S150" s="1"/>
      <c r="T150" s="1"/>
      <c r="U150" s="1"/>
      <c r="V150" s="1"/>
      <c r="W150" s="1"/>
    </row>
    <row r="151" spans="19:23">
      <c r="S151" s="1"/>
      <c r="T151" s="1"/>
      <c r="U151" s="1"/>
      <c r="V151" s="1"/>
      <c r="W151" s="1"/>
    </row>
    <row r="152" spans="19:23">
      <c r="S152" s="1"/>
      <c r="T152" s="1"/>
      <c r="U152" s="1"/>
      <c r="V152" s="1"/>
      <c r="W152" s="1"/>
    </row>
    <row r="153" spans="19:23">
      <c r="S153" s="1"/>
      <c r="T153" s="1"/>
      <c r="U153" s="1"/>
      <c r="V153" s="1"/>
      <c r="W153" s="1"/>
    </row>
    <row r="154" spans="19:23">
      <c r="S154" s="1"/>
      <c r="T154" s="1"/>
      <c r="U154" s="1"/>
      <c r="V154" s="1"/>
      <c r="W154" s="1"/>
    </row>
    <row r="155" spans="19:23">
      <c r="S155" s="1"/>
      <c r="T155" s="1"/>
      <c r="U155" s="1"/>
      <c r="V155" s="1"/>
      <c r="W155" s="1"/>
    </row>
    <row r="156" spans="19:23">
      <c r="S156" s="1"/>
      <c r="T156" s="1"/>
      <c r="U156" s="1"/>
      <c r="V156" s="1"/>
      <c r="W156" s="1"/>
    </row>
    <row r="157" spans="19:23">
      <c r="S157" s="1"/>
      <c r="T157" s="1"/>
      <c r="U157" s="1"/>
      <c r="V157" s="1"/>
      <c r="W157" s="1"/>
    </row>
    <row r="158" spans="19:23">
      <c r="S158" s="1"/>
      <c r="T158" s="1"/>
      <c r="U158" s="1"/>
      <c r="V158" s="1"/>
      <c r="W158" s="1"/>
    </row>
    <row r="159" spans="19:23">
      <c r="S159" s="1"/>
      <c r="T159" s="1"/>
      <c r="U159" s="1"/>
      <c r="V159" s="1"/>
      <c r="W159" s="1"/>
    </row>
    <row r="160" spans="19:23">
      <c r="S160" s="1"/>
      <c r="T160" s="1"/>
      <c r="U160" s="1"/>
      <c r="V160" s="1"/>
      <c r="W160" s="1"/>
    </row>
    <row r="161" spans="19:23">
      <c r="S161" s="1"/>
      <c r="T161" s="1"/>
      <c r="U161" s="1"/>
      <c r="V161" s="1"/>
      <c r="W161" s="1"/>
    </row>
  </sheetData>
  <sheetProtection selectLockedCells="1"/>
  <protectedRanges>
    <protectedRange sqref="P5 T2:U3 I10:L10 X10" name="Zakres1"/>
  </protectedRanges>
  <mergeCells count="13">
    <mergeCell ref="X8:X9"/>
    <mergeCell ref="G28:H28"/>
    <mergeCell ref="M7:M9"/>
    <mergeCell ref="N7:N9"/>
    <mergeCell ref="Q7:Q9"/>
    <mergeCell ref="P7:P9"/>
    <mergeCell ref="O7:O9"/>
    <mergeCell ref="I7:L7"/>
    <mergeCell ref="T3:U3"/>
    <mergeCell ref="T2:U2"/>
    <mergeCell ref="G3:S3"/>
    <mergeCell ref="G2:S2"/>
    <mergeCell ref="P5:Q5"/>
  </mergeCells>
  <conditionalFormatting sqref="AF11:AF22">
    <cfRule type="expression" dxfId="15" priority="14" stopIfTrue="1">
      <formula>IF(AB11=1,TRUE,FALSE)</formula>
    </cfRule>
    <cfRule type="expression" dxfId="14" priority="15" stopIfTrue="1">
      <formula>IF(AB11=2,TRUE,FALSE)</formula>
    </cfRule>
    <cfRule type="expression" dxfId="13" priority="16" stopIfTrue="1">
      <formula>IF(AB11=3,TRUE,FALSE)</formula>
    </cfRule>
  </conditionalFormatting>
  <conditionalFormatting sqref="AG11:AG23 X11:X23 I11:L22 Y11:AA22 N23:Q23 N11:P22">
    <cfRule type="expression" dxfId="12" priority="11" stopIfTrue="1">
      <formula>"L12=2"</formula>
    </cfRule>
  </conditionalFormatting>
  <conditionalFormatting sqref="Z11:AE22">
    <cfRule type="cellIs" dxfId="11" priority="8" stopIfTrue="1" operator="equal">
      <formula>2</formula>
    </cfRule>
    <cfRule type="cellIs" dxfId="10" priority="9" stopIfTrue="1" operator="equal">
      <formula>3</formula>
    </cfRule>
    <cfRule type="cellIs" dxfId="9" priority="10" stopIfTrue="1" operator="equal">
      <formula>4</formula>
    </cfRule>
  </conditionalFormatting>
  <conditionalFormatting sqref="H28">
    <cfRule type="expression" dxfId="8" priority="26" stopIfTrue="1">
      <formula>IF(AF22=4,TRUE,FALSE)</formula>
    </cfRule>
  </conditionalFormatting>
  <conditionalFormatting sqref="M11:M22">
    <cfRule type="expression" dxfId="7" priority="27" stopIfTrue="1">
      <formula>IF(AB11=1,TRUE,FALSE)</formula>
    </cfRule>
    <cfRule type="expression" dxfId="6" priority="28" stopIfTrue="1">
      <formula>IF(AB11=2,TRUE,FALSE)</formula>
    </cfRule>
    <cfRule type="expression" dxfId="5" priority="29" stopIfTrue="1">
      <formula>IF(AB11=3,TRUE,FALSE)</formula>
    </cfRule>
  </conditionalFormatting>
  <conditionalFormatting sqref="G28">
    <cfRule type="expression" dxfId="4" priority="34" stopIfTrue="1">
      <formula>IF(AB22=4,TRUE,FALSE)</formula>
    </cfRule>
  </conditionalFormatting>
  <conditionalFormatting sqref="P26:Q26">
    <cfRule type="expression" dxfId="3" priority="35" stopIfTrue="1">
      <formula>IF(AA22&gt;=2,TRUE,FALSE)</formula>
    </cfRule>
  </conditionalFormatting>
  <conditionalFormatting sqref="P25:Q25">
    <cfRule type="expression" dxfId="2" priority="36" stopIfTrue="1">
      <formula>IF(AA22&gt;=1,TRUE,FALSE)</formula>
    </cfRule>
  </conditionalFormatting>
  <conditionalFormatting sqref="Q12:Q22">
    <cfRule type="expression" dxfId="1" priority="2" stopIfTrue="1">
      <formula>"L12=2"</formula>
    </cfRule>
  </conditionalFormatting>
  <conditionalFormatting sqref="Q11">
    <cfRule type="expression" dxfId="0" priority="1" stopIfTrue="1">
      <formula>"L12=2"</formula>
    </cfRule>
  </conditionalFormatting>
  <printOptions horizontalCentered="1"/>
  <pageMargins left="0.19685039370078741" right="0.19685039370078741" top="0.39370078740157483" bottom="0.39370078740157483" header="0.51181102362204722" footer="0.51181102362204722"/>
  <pageSetup paperSize="9" orientation="landscape" r:id="rId1"/>
  <headerFooter alignWithMargins="0"/>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40"/>
  <sheetViews>
    <sheetView showGridLines="0" workbookViewId="0">
      <selection activeCell="D6" sqref="D6"/>
    </sheetView>
  </sheetViews>
  <sheetFormatPr defaultRowHeight="12.5"/>
  <cols>
    <col min="2" max="2" width="2.26953125" customWidth="1"/>
    <col min="4" max="4" width="74.7265625" style="125" customWidth="1"/>
    <col min="6" max="6" width="9.1796875" style="124"/>
    <col min="7" max="7" width="15" style="130" customWidth="1"/>
    <col min="11" max="11" width="9.7265625" bestFit="1" customWidth="1"/>
  </cols>
  <sheetData>
    <row r="1" spans="2:11" ht="26">
      <c r="B1" s="311" t="s">
        <v>89</v>
      </c>
      <c r="C1" s="311"/>
      <c r="D1" s="311"/>
      <c r="E1" s="311"/>
      <c r="F1" s="311"/>
      <c r="G1" s="311"/>
    </row>
    <row r="2" spans="2:11" ht="25.9" customHeight="1">
      <c r="B2" s="132" t="s">
        <v>90</v>
      </c>
    </row>
    <row r="3" spans="2:11" s="121" customFormat="1" ht="37.9" customHeight="1">
      <c r="B3" s="312" t="s">
        <v>156</v>
      </c>
      <c r="C3" s="312"/>
      <c r="D3" s="312"/>
      <c r="E3" s="312"/>
      <c r="F3" s="312"/>
      <c r="G3" s="312"/>
    </row>
    <row r="4" spans="2:11" ht="60" customHeight="1">
      <c r="B4" s="312" t="s">
        <v>95</v>
      </c>
      <c r="C4" s="312"/>
      <c r="D4" s="312"/>
      <c r="E4" s="312"/>
      <c r="F4" s="312"/>
      <c r="G4" s="312"/>
    </row>
    <row r="5" spans="2:11" ht="13">
      <c r="B5" s="313" t="s">
        <v>157</v>
      </c>
      <c r="C5" s="313"/>
      <c r="D5" s="313"/>
      <c r="E5" s="313"/>
      <c r="F5" s="313"/>
      <c r="G5" s="313"/>
    </row>
    <row r="7" spans="2:11" ht="16.5">
      <c r="B7" s="314" t="s">
        <v>56</v>
      </c>
      <c r="C7" s="314"/>
      <c r="D7" s="314"/>
      <c r="E7" s="314"/>
      <c r="F7" s="314"/>
      <c r="G7" s="314"/>
    </row>
    <row r="9" spans="2:11" ht="26">
      <c r="C9" s="131" t="s">
        <v>57</v>
      </c>
      <c r="D9" s="131" t="s">
        <v>91</v>
      </c>
      <c r="E9" s="131" t="s">
        <v>94</v>
      </c>
      <c r="F9" s="131" t="s">
        <v>92</v>
      </c>
      <c r="G9" s="133" t="s">
        <v>93</v>
      </c>
    </row>
    <row r="10" spans="2:11" ht="26.65" customHeight="1">
      <c r="C10" s="122">
        <v>1</v>
      </c>
      <c r="D10" s="126" t="s">
        <v>158</v>
      </c>
      <c r="E10" s="122" t="s">
        <v>58</v>
      </c>
      <c r="F10" s="128">
        <v>9</v>
      </c>
      <c r="G10" s="134">
        <v>2.53E-2</v>
      </c>
      <c r="K10" s="34"/>
    </row>
    <row r="11" spans="2:11" ht="26.65" customHeight="1">
      <c r="C11" s="122">
        <v>2</v>
      </c>
      <c r="D11" s="126" t="s">
        <v>159</v>
      </c>
      <c r="E11" s="122" t="s">
        <v>59</v>
      </c>
      <c r="F11" s="128">
        <v>10</v>
      </c>
      <c r="G11" s="134">
        <v>2.7999999999999997E-2</v>
      </c>
    </row>
    <row r="12" spans="2:11" ht="26.65" customHeight="1">
      <c r="C12" s="122">
        <v>3</v>
      </c>
      <c r="D12" s="126" t="s">
        <v>60</v>
      </c>
      <c r="E12" s="122" t="s">
        <v>61</v>
      </c>
      <c r="F12" s="128">
        <v>4</v>
      </c>
      <c r="G12" s="134">
        <v>1.2E-2</v>
      </c>
    </row>
    <row r="13" spans="2:11" ht="26.65" customHeight="1">
      <c r="C13" s="122">
        <v>4</v>
      </c>
      <c r="D13" s="126" t="s">
        <v>160</v>
      </c>
      <c r="E13" s="122" t="s">
        <v>62</v>
      </c>
      <c r="F13" s="128">
        <v>12</v>
      </c>
      <c r="G13" s="134">
        <v>3.3300000000000003E-2</v>
      </c>
    </row>
    <row r="14" spans="2:11" ht="26.65" customHeight="1">
      <c r="C14" s="122">
        <v>5</v>
      </c>
      <c r="D14" s="126" t="s">
        <v>161</v>
      </c>
      <c r="E14" s="122" t="s">
        <v>63</v>
      </c>
      <c r="F14" s="128">
        <v>10</v>
      </c>
      <c r="G14" s="134">
        <v>2.7999999999999997E-2</v>
      </c>
    </row>
    <row r="15" spans="2:11" ht="26.65" customHeight="1">
      <c r="C15" s="122">
        <v>6</v>
      </c>
      <c r="D15" s="126" t="s">
        <v>64</v>
      </c>
      <c r="E15" s="122" t="s">
        <v>65</v>
      </c>
      <c r="F15" s="128">
        <v>11</v>
      </c>
      <c r="G15" s="134">
        <v>3.0600000000000002E-2</v>
      </c>
    </row>
    <row r="16" spans="2:11" ht="26.65" customHeight="1">
      <c r="C16" s="122">
        <v>7</v>
      </c>
      <c r="D16" s="126" t="s">
        <v>162</v>
      </c>
      <c r="E16" s="122" t="s">
        <v>66</v>
      </c>
      <c r="F16" s="128">
        <v>7</v>
      </c>
      <c r="G16" s="134">
        <v>0.02</v>
      </c>
    </row>
    <row r="17" spans="3:7" ht="26.65" customHeight="1">
      <c r="C17" s="122">
        <v>8</v>
      </c>
      <c r="D17" s="126" t="s">
        <v>163</v>
      </c>
      <c r="E17" s="122" t="s">
        <v>67</v>
      </c>
      <c r="F17" s="128">
        <v>11</v>
      </c>
      <c r="G17" s="134">
        <v>3.0600000000000002E-2</v>
      </c>
    </row>
    <row r="18" spans="3:7" ht="26.65" customHeight="1">
      <c r="C18" s="122">
        <v>9</v>
      </c>
      <c r="D18" s="126" t="s">
        <v>68</v>
      </c>
      <c r="E18" s="122" t="s">
        <v>69</v>
      </c>
      <c r="F18" s="128">
        <v>5</v>
      </c>
      <c r="G18" s="134">
        <v>1.47E-2</v>
      </c>
    </row>
    <row r="19" spans="3:7" ht="26.65" customHeight="1">
      <c r="C19" s="122">
        <v>10</v>
      </c>
      <c r="D19" s="126" t="s">
        <v>70</v>
      </c>
      <c r="E19" s="122" t="s">
        <v>71</v>
      </c>
      <c r="F19" s="128">
        <v>4</v>
      </c>
      <c r="G19" s="134">
        <v>1.2E-2</v>
      </c>
    </row>
    <row r="20" spans="3:7" ht="26.65" customHeight="1">
      <c r="C20" s="122">
        <v>11</v>
      </c>
      <c r="D20" s="126" t="s">
        <v>72</v>
      </c>
      <c r="E20" s="122" t="s">
        <v>73</v>
      </c>
      <c r="F20" s="128">
        <v>4</v>
      </c>
      <c r="G20" s="134">
        <v>1.2E-2</v>
      </c>
    </row>
    <row r="21" spans="3:7" ht="26.65" customHeight="1">
      <c r="C21" s="122">
        <v>12</v>
      </c>
      <c r="D21" s="126" t="s">
        <v>74</v>
      </c>
      <c r="E21" s="122" t="s">
        <v>75</v>
      </c>
      <c r="F21" s="128">
        <v>5</v>
      </c>
      <c r="G21" s="134">
        <v>1.47E-2</v>
      </c>
    </row>
    <row r="22" spans="3:7" ht="26.65" customHeight="1">
      <c r="C22" s="122">
        <v>13</v>
      </c>
      <c r="D22" s="126" t="s">
        <v>76</v>
      </c>
      <c r="E22" s="122" t="s">
        <v>77</v>
      </c>
      <c r="F22" s="128">
        <v>3</v>
      </c>
      <c r="G22" s="134">
        <v>9.300000000000001E-3</v>
      </c>
    </row>
    <row r="23" spans="3:7" ht="26.65" customHeight="1">
      <c r="C23" s="122">
        <v>14</v>
      </c>
      <c r="D23" s="126" t="s">
        <v>164</v>
      </c>
      <c r="E23" s="122" t="s">
        <v>78</v>
      </c>
      <c r="F23" s="128">
        <v>3</v>
      </c>
      <c r="G23" s="134">
        <v>9.300000000000001E-3</v>
      </c>
    </row>
    <row r="24" spans="3:7" ht="26.65" customHeight="1">
      <c r="C24" s="123">
        <v>15</v>
      </c>
      <c r="D24" s="127" t="s">
        <v>165</v>
      </c>
      <c r="E24" s="123" t="s">
        <v>79</v>
      </c>
      <c r="F24" s="129">
        <v>8</v>
      </c>
      <c r="G24" s="134">
        <v>2.2599999999999999E-2</v>
      </c>
    </row>
    <row r="25" spans="3:7" ht="26.65" customHeight="1">
      <c r="C25" s="122">
        <v>16</v>
      </c>
      <c r="D25" s="126" t="s">
        <v>166</v>
      </c>
      <c r="E25" s="122" t="s">
        <v>80</v>
      </c>
      <c r="F25" s="128">
        <v>6</v>
      </c>
      <c r="G25" s="134">
        <v>1.7299999999999999E-2</v>
      </c>
    </row>
    <row r="26" spans="3:7" ht="26.65" customHeight="1">
      <c r="C26" s="122">
        <v>17</v>
      </c>
      <c r="D26" s="126" t="s">
        <v>167</v>
      </c>
      <c r="E26" s="122" t="s">
        <v>81</v>
      </c>
      <c r="F26" s="128">
        <v>3</v>
      </c>
      <c r="G26" s="134">
        <v>9.300000000000001E-3</v>
      </c>
    </row>
    <row r="27" spans="3:7" ht="26.65" customHeight="1">
      <c r="C27" s="122">
        <v>18</v>
      </c>
      <c r="D27" s="126" t="s">
        <v>168</v>
      </c>
      <c r="E27" s="122" t="s">
        <v>82</v>
      </c>
      <c r="F27" s="128">
        <v>5</v>
      </c>
      <c r="G27" s="134">
        <v>1.47E-2</v>
      </c>
    </row>
    <row r="28" spans="3:7" ht="26.65" customHeight="1">
      <c r="C28" s="122">
        <v>19</v>
      </c>
      <c r="D28" s="126" t="s">
        <v>169</v>
      </c>
      <c r="E28" s="122" t="s">
        <v>83</v>
      </c>
      <c r="F28" s="128">
        <v>5</v>
      </c>
      <c r="G28" s="134">
        <v>1.47E-2</v>
      </c>
    </row>
    <row r="29" spans="3:7" ht="26.65" customHeight="1">
      <c r="C29" s="122">
        <v>20</v>
      </c>
      <c r="D29" s="126" t="s">
        <v>170</v>
      </c>
      <c r="E29" s="122" t="s">
        <v>84</v>
      </c>
      <c r="F29" s="128">
        <v>4</v>
      </c>
      <c r="G29" s="134">
        <v>1.2E-2</v>
      </c>
    </row>
    <row r="30" spans="3:7" ht="26.65" customHeight="1">
      <c r="C30" s="122">
        <v>21</v>
      </c>
      <c r="D30" s="126" t="s">
        <v>171</v>
      </c>
      <c r="E30" s="122" t="s">
        <v>85</v>
      </c>
      <c r="F30" s="128">
        <v>5</v>
      </c>
      <c r="G30" s="134">
        <v>1.47E-2</v>
      </c>
    </row>
    <row r="31" spans="3:7" ht="26.65" customHeight="1">
      <c r="C31" s="122">
        <v>22</v>
      </c>
      <c r="D31" s="126" t="s">
        <v>172</v>
      </c>
      <c r="E31" s="122" t="s">
        <v>86</v>
      </c>
      <c r="F31" s="128">
        <v>6</v>
      </c>
      <c r="G31" s="134">
        <v>1.7299999999999999E-2</v>
      </c>
    </row>
    <row r="32" spans="3:7" ht="26.65" customHeight="1">
      <c r="C32" s="122">
        <v>23</v>
      </c>
      <c r="D32" s="152" t="s">
        <v>87</v>
      </c>
      <c r="E32" s="122" t="s">
        <v>88</v>
      </c>
      <c r="F32" s="128">
        <v>9</v>
      </c>
      <c r="G32" s="134">
        <v>2.53E-2</v>
      </c>
    </row>
    <row r="33" spans="3:7" ht="26.65" customHeight="1">
      <c r="C33" s="122">
        <v>24</v>
      </c>
      <c r="D33" s="152" t="s">
        <v>173</v>
      </c>
      <c r="E33" s="122" t="s">
        <v>96</v>
      </c>
      <c r="F33" s="122">
        <v>6</v>
      </c>
      <c r="G33" s="134">
        <v>1.7299999999999999E-2</v>
      </c>
    </row>
    <row r="34" spans="3:7" ht="26.65" customHeight="1">
      <c r="C34" s="122">
        <v>25</v>
      </c>
      <c r="D34" s="152" t="s">
        <v>97</v>
      </c>
      <c r="E34" s="122" t="s">
        <v>98</v>
      </c>
      <c r="F34" s="122">
        <v>3</v>
      </c>
      <c r="G34" s="134">
        <v>9.300000000000001E-3</v>
      </c>
    </row>
    <row r="35" spans="3:7" ht="26.65" customHeight="1">
      <c r="C35" s="122">
        <v>26</v>
      </c>
      <c r="D35" s="152" t="s">
        <v>99</v>
      </c>
      <c r="E35" s="122" t="s">
        <v>100</v>
      </c>
      <c r="F35" s="122">
        <v>5</v>
      </c>
      <c r="G35" s="153">
        <v>1.47E-2</v>
      </c>
    </row>
    <row r="36" spans="3:7" ht="26.65" customHeight="1">
      <c r="C36" s="122">
        <v>27</v>
      </c>
      <c r="D36" s="152" t="s">
        <v>174</v>
      </c>
      <c r="E36" s="122" t="s">
        <v>101</v>
      </c>
      <c r="F36" s="122">
        <v>5</v>
      </c>
      <c r="G36" s="134">
        <v>1.47E-2</v>
      </c>
    </row>
    <row r="37" spans="3:7" ht="26.65" customHeight="1">
      <c r="C37" s="122">
        <v>28</v>
      </c>
      <c r="D37" s="152" t="s">
        <v>175</v>
      </c>
      <c r="E37" s="122" t="s">
        <v>102</v>
      </c>
      <c r="F37" s="122">
        <v>5</v>
      </c>
      <c r="G37" s="134">
        <v>1.47E-2</v>
      </c>
    </row>
    <row r="38" spans="3:7" ht="26.65" customHeight="1">
      <c r="C38" s="122">
        <v>29</v>
      </c>
      <c r="D38" s="152" t="s">
        <v>103</v>
      </c>
      <c r="E38" s="122" t="s">
        <v>104</v>
      </c>
      <c r="F38" s="122">
        <v>6</v>
      </c>
      <c r="G38" s="134">
        <v>1.7299999999999999E-2</v>
      </c>
    </row>
    <row r="39" spans="3:7" ht="26.65" customHeight="1">
      <c r="C39" s="122">
        <v>30</v>
      </c>
      <c r="D39" s="152" t="s">
        <v>105</v>
      </c>
      <c r="E39" s="122" t="s">
        <v>106</v>
      </c>
      <c r="F39" s="122">
        <v>5</v>
      </c>
      <c r="G39" s="134">
        <v>1.47E-2</v>
      </c>
    </row>
    <row r="40" spans="3:7" ht="26.65" customHeight="1">
      <c r="C40" s="122">
        <v>31</v>
      </c>
      <c r="D40" s="152" t="s">
        <v>107</v>
      </c>
      <c r="E40" s="122" t="s">
        <v>108</v>
      </c>
      <c r="F40" s="122">
        <v>4</v>
      </c>
      <c r="G40" s="134">
        <v>1.2E-2</v>
      </c>
    </row>
    <row r="41" spans="3:7" ht="26.65" customHeight="1">
      <c r="C41" s="122">
        <v>32</v>
      </c>
      <c r="D41" s="152" t="s">
        <v>176</v>
      </c>
      <c r="E41" s="122" t="s">
        <v>109</v>
      </c>
      <c r="F41" s="122">
        <v>5</v>
      </c>
      <c r="G41" s="134">
        <v>1.47E-2</v>
      </c>
    </row>
    <row r="42" spans="3:7" ht="26.65" customHeight="1">
      <c r="C42" s="122">
        <v>33</v>
      </c>
      <c r="D42" s="152" t="s">
        <v>177</v>
      </c>
      <c r="E42" s="122" t="s">
        <v>110</v>
      </c>
      <c r="F42" s="122">
        <v>4</v>
      </c>
      <c r="G42" s="153">
        <v>1.2E-2</v>
      </c>
    </row>
    <row r="43" spans="3:7" ht="26.65" customHeight="1">
      <c r="C43" s="122">
        <v>34</v>
      </c>
      <c r="D43" s="152" t="s">
        <v>178</v>
      </c>
      <c r="E43" s="122" t="s">
        <v>111</v>
      </c>
      <c r="F43" s="122">
        <v>5</v>
      </c>
      <c r="G43" s="153">
        <v>1.47E-2</v>
      </c>
    </row>
    <row r="44" spans="3:7" ht="26.65" customHeight="1">
      <c r="C44" s="122">
        <v>35</v>
      </c>
      <c r="D44" s="152" t="s">
        <v>179</v>
      </c>
      <c r="E44" s="122" t="s">
        <v>112</v>
      </c>
      <c r="F44" s="122">
        <v>5</v>
      </c>
      <c r="G44" s="134">
        <v>1.47E-2</v>
      </c>
    </row>
    <row r="45" spans="3:7" ht="26.65" customHeight="1">
      <c r="C45" s="122">
        <v>36</v>
      </c>
      <c r="D45" s="152" t="s">
        <v>113</v>
      </c>
      <c r="E45" s="122" t="s">
        <v>114</v>
      </c>
      <c r="F45" s="122">
        <v>7</v>
      </c>
      <c r="G45" s="134">
        <v>0.02</v>
      </c>
    </row>
    <row r="46" spans="3:7" ht="26.65" customHeight="1">
      <c r="C46" s="122">
        <v>37</v>
      </c>
      <c r="D46" s="152" t="s">
        <v>180</v>
      </c>
      <c r="E46" s="122" t="s">
        <v>115</v>
      </c>
      <c r="F46" s="122">
        <v>6</v>
      </c>
      <c r="G46" s="134">
        <v>1.7299999999999999E-2</v>
      </c>
    </row>
    <row r="47" spans="3:7" ht="26.65" customHeight="1">
      <c r="C47" s="122">
        <v>38</v>
      </c>
      <c r="D47" s="152" t="s">
        <v>116</v>
      </c>
      <c r="E47" s="122" t="s">
        <v>117</v>
      </c>
      <c r="F47" s="122">
        <v>5</v>
      </c>
      <c r="G47" s="153">
        <v>1.47E-2</v>
      </c>
    </row>
    <row r="48" spans="3:7" ht="26.65" customHeight="1">
      <c r="C48" s="122">
        <v>39</v>
      </c>
      <c r="D48" s="152" t="s">
        <v>181</v>
      </c>
      <c r="E48" s="122" t="s">
        <v>118</v>
      </c>
      <c r="F48" s="122">
        <v>6</v>
      </c>
      <c r="G48" s="134">
        <v>1.7299999999999999E-2</v>
      </c>
    </row>
    <row r="49" spans="3:7" ht="26.65" customHeight="1">
      <c r="C49" s="122">
        <v>40</v>
      </c>
      <c r="D49" s="152" t="s">
        <v>119</v>
      </c>
      <c r="E49" s="122" t="s">
        <v>120</v>
      </c>
      <c r="F49" s="122">
        <v>4</v>
      </c>
      <c r="G49" s="153">
        <v>1.2E-2</v>
      </c>
    </row>
    <row r="50" spans="3:7" ht="26.65" customHeight="1">
      <c r="C50" s="122">
        <v>41</v>
      </c>
      <c r="D50" s="152" t="s">
        <v>182</v>
      </c>
      <c r="E50" s="122" t="s">
        <v>121</v>
      </c>
      <c r="F50" s="122">
        <v>3</v>
      </c>
      <c r="G50" s="134">
        <v>9.300000000000001E-3</v>
      </c>
    </row>
    <row r="51" spans="3:7" ht="26.65" customHeight="1">
      <c r="C51" s="122">
        <v>42</v>
      </c>
      <c r="D51" s="152" t="s">
        <v>183</v>
      </c>
      <c r="E51" s="122" t="s">
        <v>122</v>
      </c>
      <c r="F51" s="122">
        <v>3</v>
      </c>
      <c r="G51" s="134">
        <v>9.300000000000001E-3</v>
      </c>
    </row>
    <row r="52" spans="3:7" ht="26.65" customHeight="1">
      <c r="C52" s="122">
        <v>43</v>
      </c>
      <c r="D52" s="152" t="s">
        <v>184</v>
      </c>
      <c r="E52" s="122" t="s">
        <v>123</v>
      </c>
      <c r="F52" s="122">
        <v>3</v>
      </c>
      <c r="G52" s="134">
        <v>9.300000000000001E-3</v>
      </c>
    </row>
    <row r="53" spans="3:7" ht="26.65" customHeight="1">
      <c r="C53" s="122">
        <v>44</v>
      </c>
      <c r="D53" s="152" t="s">
        <v>124</v>
      </c>
      <c r="E53" s="122" t="s">
        <v>125</v>
      </c>
      <c r="F53" s="122">
        <v>4</v>
      </c>
      <c r="G53" s="134">
        <v>1.2E-2</v>
      </c>
    </row>
    <row r="54" spans="3:7" ht="26.65" customHeight="1">
      <c r="C54" s="122">
        <v>45</v>
      </c>
      <c r="D54" s="152" t="s">
        <v>126</v>
      </c>
      <c r="E54" s="122" t="s">
        <v>127</v>
      </c>
      <c r="F54" s="122">
        <v>8</v>
      </c>
      <c r="G54" s="134">
        <v>2.2599999999999999E-2</v>
      </c>
    </row>
    <row r="55" spans="3:7" ht="26.65" customHeight="1">
      <c r="C55" s="122">
        <v>46</v>
      </c>
      <c r="D55" s="152" t="s">
        <v>128</v>
      </c>
      <c r="E55" s="122" t="s">
        <v>129</v>
      </c>
      <c r="F55" s="122">
        <v>2</v>
      </c>
      <c r="G55" s="134">
        <v>6.7000000000000002E-3</v>
      </c>
    </row>
    <row r="56" spans="3:7" ht="26.65" customHeight="1">
      <c r="C56" s="122">
        <v>47</v>
      </c>
      <c r="D56" s="152" t="s">
        <v>185</v>
      </c>
      <c r="E56" s="122" t="s">
        <v>130</v>
      </c>
      <c r="F56" s="122">
        <v>5</v>
      </c>
      <c r="G56" s="153">
        <v>1.47E-2</v>
      </c>
    </row>
    <row r="57" spans="3:7" ht="26.65" customHeight="1">
      <c r="C57" s="122">
        <v>48</v>
      </c>
      <c r="D57" s="152" t="s">
        <v>186</v>
      </c>
      <c r="E57" s="122" t="s">
        <v>131</v>
      </c>
      <c r="F57" s="122">
        <v>5</v>
      </c>
      <c r="G57" s="153">
        <v>1.47E-2</v>
      </c>
    </row>
    <row r="58" spans="3:7" ht="26.65" customHeight="1">
      <c r="C58" s="122">
        <v>49</v>
      </c>
      <c r="D58" s="152" t="s">
        <v>187</v>
      </c>
      <c r="E58" s="122" t="s">
        <v>132</v>
      </c>
      <c r="F58" s="122">
        <v>2</v>
      </c>
      <c r="G58" s="153">
        <v>6.7000000000000002E-3</v>
      </c>
    </row>
    <row r="59" spans="3:7" ht="26.65" customHeight="1">
      <c r="C59" s="122">
        <v>50</v>
      </c>
      <c r="D59" s="152" t="s">
        <v>188</v>
      </c>
      <c r="E59" s="122" t="s">
        <v>133</v>
      </c>
      <c r="F59" s="122">
        <v>2</v>
      </c>
      <c r="G59" s="153">
        <v>6.7000000000000002E-3</v>
      </c>
    </row>
    <row r="60" spans="3:7" ht="26.65" customHeight="1">
      <c r="C60" s="122">
        <v>51</v>
      </c>
      <c r="D60" s="152" t="s">
        <v>189</v>
      </c>
      <c r="E60" s="122" t="s">
        <v>134</v>
      </c>
      <c r="F60" s="122">
        <v>2</v>
      </c>
      <c r="G60" s="153">
        <v>6.7000000000000002E-3</v>
      </c>
    </row>
    <row r="61" spans="3:7" ht="26.65" customHeight="1">
      <c r="C61" s="122">
        <v>52</v>
      </c>
      <c r="D61" s="152" t="s">
        <v>190</v>
      </c>
      <c r="E61" s="122" t="s">
        <v>135</v>
      </c>
      <c r="F61" s="122">
        <v>2</v>
      </c>
      <c r="G61" s="134">
        <v>6.7000000000000002E-3</v>
      </c>
    </row>
    <row r="62" spans="3:7" ht="26.65" customHeight="1">
      <c r="C62" s="122">
        <v>53</v>
      </c>
      <c r="D62" s="152" t="s">
        <v>191</v>
      </c>
      <c r="E62" s="122" t="s">
        <v>136</v>
      </c>
      <c r="F62" s="122">
        <v>2</v>
      </c>
      <c r="G62" s="153">
        <v>6.7000000000000002E-3</v>
      </c>
    </row>
    <row r="63" spans="3:7" ht="26.65" customHeight="1">
      <c r="C63" s="122">
        <v>54</v>
      </c>
      <c r="D63" s="152" t="s">
        <v>192</v>
      </c>
      <c r="E63" s="122" t="s">
        <v>137</v>
      </c>
      <c r="F63" s="122">
        <v>4</v>
      </c>
      <c r="G63" s="134">
        <v>1.2E-2</v>
      </c>
    </row>
    <row r="64" spans="3:7" ht="26.65" customHeight="1">
      <c r="C64" s="122">
        <v>55</v>
      </c>
      <c r="D64" s="152" t="s">
        <v>193</v>
      </c>
      <c r="E64" s="122" t="s">
        <v>138</v>
      </c>
      <c r="F64" s="122">
        <v>4</v>
      </c>
      <c r="G64" s="153">
        <v>1.2E-2</v>
      </c>
    </row>
    <row r="65" spans="3:7" ht="26.65" customHeight="1">
      <c r="C65" s="122">
        <v>56</v>
      </c>
      <c r="D65" s="152" t="s">
        <v>194</v>
      </c>
      <c r="E65" s="122" t="s">
        <v>139</v>
      </c>
      <c r="F65" s="122">
        <v>2</v>
      </c>
      <c r="G65" s="153">
        <v>6.7000000000000002E-3</v>
      </c>
    </row>
    <row r="66" spans="3:7" ht="26.65" customHeight="1">
      <c r="C66" s="122">
        <v>57</v>
      </c>
      <c r="D66" s="152" t="s">
        <v>195</v>
      </c>
      <c r="E66" s="122" t="s">
        <v>140</v>
      </c>
      <c r="F66" s="122">
        <v>3</v>
      </c>
      <c r="G66" s="134">
        <v>9.300000000000001E-3</v>
      </c>
    </row>
    <row r="67" spans="3:7" ht="26.65" customHeight="1">
      <c r="C67" s="122">
        <v>58</v>
      </c>
      <c r="D67" s="152" t="s">
        <v>196</v>
      </c>
      <c r="E67" s="122" t="s">
        <v>141</v>
      </c>
      <c r="F67" s="122">
        <v>4</v>
      </c>
      <c r="G67" s="153">
        <v>1.2E-2</v>
      </c>
    </row>
    <row r="68" spans="3:7" ht="26.65" customHeight="1">
      <c r="C68" s="122">
        <v>59</v>
      </c>
      <c r="D68" s="152" t="s">
        <v>197</v>
      </c>
      <c r="E68" s="122" t="s">
        <v>142</v>
      </c>
      <c r="F68" s="122">
        <v>2</v>
      </c>
      <c r="G68" s="153">
        <v>6.7000000000000002E-3</v>
      </c>
    </row>
    <row r="69" spans="3:7" ht="26.65" customHeight="1">
      <c r="C69" s="122">
        <v>60</v>
      </c>
      <c r="D69" s="152" t="s">
        <v>198</v>
      </c>
      <c r="E69" s="122" t="s">
        <v>143</v>
      </c>
      <c r="F69" s="122">
        <v>3</v>
      </c>
      <c r="G69" s="134">
        <v>9.300000000000001E-3</v>
      </c>
    </row>
    <row r="70" spans="3:7" ht="26.65" customHeight="1">
      <c r="C70" s="122">
        <v>61</v>
      </c>
      <c r="D70" s="152" t="s">
        <v>144</v>
      </c>
      <c r="E70" s="122" t="s">
        <v>145</v>
      </c>
      <c r="F70" s="122">
        <v>3</v>
      </c>
      <c r="G70" s="134">
        <v>9.300000000000001E-3</v>
      </c>
    </row>
    <row r="71" spans="3:7" ht="26.65" customHeight="1">
      <c r="C71" s="122">
        <v>62</v>
      </c>
      <c r="D71" s="152" t="s">
        <v>199</v>
      </c>
      <c r="E71" s="122" t="s">
        <v>146</v>
      </c>
      <c r="F71" s="122">
        <v>4</v>
      </c>
      <c r="G71" s="134">
        <v>1.2E-2</v>
      </c>
    </row>
    <row r="72" spans="3:7" ht="26.65" customHeight="1">
      <c r="C72" s="122">
        <v>63</v>
      </c>
      <c r="D72" s="152" t="s">
        <v>200</v>
      </c>
      <c r="E72" s="122" t="s">
        <v>147</v>
      </c>
      <c r="F72" s="122">
        <v>3</v>
      </c>
      <c r="G72" s="134">
        <v>9.300000000000001E-3</v>
      </c>
    </row>
    <row r="73" spans="3:7" ht="26.65" customHeight="1">
      <c r="C73" s="122">
        <v>64</v>
      </c>
      <c r="D73" s="152" t="s">
        <v>201</v>
      </c>
      <c r="E73" s="122" t="s">
        <v>148</v>
      </c>
      <c r="F73" s="122">
        <v>2</v>
      </c>
      <c r="G73" s="134">
        <v>6.7000000000000002E-3</v>
      </c>
    </row>
    <row r="74" spans="3:7" ht="26.65" customHeight="1"/>
    <row r="75" spans="3:7" ht="26.65" customHeight="1"/>
    <row r="76" spans="3:7" ht="26.65" customHeight="1"/>
    <row r="77" spans="3:7" ht="26.65" customHeight="1"/>
    <row r="78" spans="3:7" ht="26.65" customHeight="1"/>
    <row r="79" spans="3:7" ht="26.65" customHeight="1"/>
    <row r="80" spans="3:7" ht="26.65" customHeight="1"/>
    <row r="81" ht="26.65" customHeight="1"/>
    <row r="82" ht="26.65" customHeight="1"/>
    <row r="83" ht="26.65" customHeight="1"/>
    <row r="84" ht="26.65" customHeight="1"/>
    <row r="85" ht="26.65" customHeight="1"/>
    <row r="86" ht="26.65" customHeight="1"/>
    <row r="87" ht="26.65" customHeight="1"/>
    <row r="88" ht="26.65" customHeight="1"/>
    <row r="89" ht="26.65" customHeight="1"/>
    <row r="90" ht="26.65" customHeight="1"/>
    <row r="91" ht="26.65" customHeight="1"/>
    <row r="92" ht="26.65" customHeight="1"/>
    <row r="93" ht="26.65" customHeight="1"/>
    <row r="94" ht="26.65" customHeight="1"/>
    <row r="95" ht="26.65" customHeight="1"/>
    <row r="96" ht="26.65" customHeight="1"/>
    <row r="97" ht="26.65" customHeight="1"/>
    <row r="98" ht="26.65" customHeight="1"/>
    <row r="99" ht="26.65" customHeight="1"/>
    <row r="100" ht="26.65" customHeight="1"/>
    <row r="101" ht="26.65" customHeight="1"/>
    <row r="102" ht="26.65" customHeight="1"/>
    <row r="103" ht="26.65" customHeight="1"/>
    <row r="104" ht="26.65" customHeight="1"/>
    <row r="105" ht="26.65" customHeight="1"/>
    <row r="106" ht="26.65" customHeight="1"/>
    <row r="107" ht="26.65" customHeight="1"/>
    <row r="108" ht="26.65" customHeight="1"/>
    <row r="109" ht="26.65" customHeight="1"/>
    <row r="110" ht="26.65" customHeight="1"/>
    <row r="111" ht="26.65" customHeight="1"/>
    <row r="112" ht="26.65" customHeight="1"/>
    <row r="113" ht="26.65" customHeight="1"/>
    <row r="114" ht="26.65" customHeight="1"/>
    <row r="115" ht="26.65" customHeight="1"/>
    <row r="116" ht="26.65" customHeight="1"/>
    <row r="117" ht="26.65" customHeight="1"/>
    <row r="118" ht="26.65" customHeight="1"/>
    <row r="119" ht="26.65" customHeight="1"/>
    <row r="120" ht="26.65" customHeight="1"/>
    <row r="121" ht="26.65" customHeight="1"/>
    <row r="122" ht="26.65" customHeight="1"/>
    <row r="123" ht="26.65" customHeight="1"/>
    <row r="124" ht="26.65" customHeight="1"/>
    <row r="125" ht="26.65" customHeight="1"/>
    <row r="126" ht="26.65" customHeight="1"/>
    <row r="127" ht="26.65" customHeight="1"/>
    <row r="128" ht="26.65" customHeight="1"/>
    <row r="129" ht="26.65" customHeight="1"/>
    <row r="130" ht="26.65" customHeight="1"/>
    <row r="131" ht="26.65" customHeight="1"/>
    <row r="132" ht="26.65" customHeight="1"/>
    <row r="133" ht="26.65" customHeight="1"/>
    <row r="134" ht="26.65" customHeight="1"/>
    <row r="135" ht="26.65" customHeight="1"/>
    <row r="136" ht="26.65" customHeight="1"/>
    <row r="137" ht="26.65" customHeight="1"/>
    <row r="138" ht="26.65" customHeight="1"/>
    <row r="139" ht="26.65" customHeight="1"/>
    <row r="140" ht="26.65" customHeight="1"/>
  </sheetData>
  <sheetProtection algorithmName="SHA-512" hashValue="kTzYgxbeVFFtKNqoKE8Ao5GmF6En2eOu+adJY2d8Eo95ga0ApVa/+w5KAOno/ejd2U8OS/o+4z/CF3+6zflC+A==" saltValue="HchB1by85r7/nwexak144w==" spinCount="100000" sheet="1" objects="1" selectLockedCells="1" selectUnlockedCells="1"/>
  <mergeCells count="5">
    <mergeCell ref="B1:G1"/>
    <mergeCell ref="B3:G3"/>
    <mergeCell ref="B4:G4"/>
    <mergeCell ref="B5:G5"/>
    <mergeCell ref="B7:G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2"/>
  <dimension ref="A1:O25"/>
  <sheetViews>
    <sheetView showGridLines="0" workbookViewId="0">
      <selection activeCell="C10" sqref="C10"/>
    </sheetView>
  </sheetViews>
  <sheetFormatPr defaultRowHeight="12.5"/>
  <cols>
    <col min="1" max="1" width="12.453125" bestFit="1" customWidth="1"/>
    <col min="3" max="3" width="11.453125" bestFit="1" customWidth="1"/>
    <col min="6" max="6" width="13.54296875" bestFit="1" customWidth="1"/>
    <col min="8" max="8" width="19.1796875" bestFit="1" customWidth="1"/>
    <col min="9" max="9" width="11.7265625" bestFit="1" customWidth="1"/>
    <col min="13" max="13" width="18.54296875" customWidth="1"/>
    <col min="14" max="14" width="10.1796875" bestFit="1" customWidth="1"/>
  </cols>
  <sheetData>
    <row r="1" spans="1:15" ht="13">
      <c r="A1" s="4">
        <v>85528</v>
      </c>
      <c r="B1" s="5" t="s">
        <v>4</v>
      </c>
      <c r="C1" s="6">
        <v>0.17</v>
      </c>
    </row>
    <row r="2" spans="1:15" ht="13">
      <c r="A2" s="7"/>
      <c r="B2" s="8" t="s">
        <v>5</v>
      </c>
      <c r="C2" s="9">
        <v>0.32</v>
      </c>
      <c r="H2" s="25" t="s">
        <v>30</v>
      </c>
      <c r="I2" s="23" t="str">
        <f>'umowa o pracę'!G31</f>
        <v/>
      </c>
      <c r="J2" s="29" t="e">
        <f>I2/$I$9</f>
        <v>#VALUE!</v>
      </c>
    </row>
    <row r="3" spans="1:15" ht="13">
      <c r="A3" s="7"/>
      <c r="B3" s="8"/>
      <c r="C3" s="9"/>
      <c r="H3" s="25" t="s">
        <v>209</v>
      </c>
      <c r="I3" s="23" t="str">
        <f>'umowa o pracę'!I31</f>
        <v/>
      </c>
      <c r="J3" s="29" t="e">
        <f>I3/$I$9</f>
        <v>#VALUE!</v>
      </c>
    </row>
    <row r="4" spans="1:15" ht="13">
      <c r="A4" s="7"/>
      <c r="B4" s="8" t="s">
        <v>6</v>
      </c>
      <c r="C4" s="9"/>
      <c r="H4" s="25" t="s">
        <v>31</v>
      </c>
      <c r="I4" s="23" t="str">
        <f>'umowa o pracę'!N31</f>
        <v/>
      </c>
      <c r="J4" s="29" t="e">
        <f t="shared" ref="J4:J8" si="0">I4/$I$9</f>
        <v>#VALUE!</v>
      </c>
    </row>
    <row r="5" spans="1:15">
      <c r="H5" s="25" t="s">
        <v>32</v>
      </c>
      <c r="I5" s="23" t="str">
        <f>'umowa o pracę'!L31</f>
        <v/>
      </c>
      <c r="J5" s="29" t="e">
        <f t="shared" si="0"/>
        <v>#VALUE!</v>
      </c>
    </row>
    <row r="6" spans="1:15">
      <c r="H6" s="25" t="s">
        <v>206</v>
      </c>
      <c r="I6" s="23" t="str">
        <f>'umowa o pracę'!K31</f>
        <v/>
      </c>
      <c r="J6" s="29" t="e">
        <f t="shared" si="0"/>
        <v>#VALUE!</v>
      </c>
    </row>
    <row r="7" spans="1:15" ht="13" thickBot="1">
      <c r="H7" s="25" t="s">
        <v>205</v>
      </c>
      <c r="I7" s="23" t="str">
        <f>'umowa o pracę'!J31</f>
        <v/>
      </c>
      <c r="J7" s="29" t="e">
        <f t="shared" si="0"/>
        <v>#VALUE!</v>
      </c>
    </row>
    <row r="8" spans="1:15" ht="21">
      <c r="A8" s="16" t="s">
        <v>7</v>
      </c>
      <c r="C8" s="16" t="s">
        <v>19</v>
      </c>
      <c r="D8" s="16" t="s">
        <v>19</v>
      </c>
      <c r="H8" s="25" t="s">
        <v>33</v>
      </c>
      <c r="I8" s="26" t="str">
        <f>'umowa o pracę'!S31</f>
        <v/>
      </c>
      <c r="J8" s="29" t="e">
        <f t="shared" si="0"/>
        <v>#VALUE!</v>
      </c>
    </row>
    <row r="9" spans="1:15" ht="13.5" thickBot="1">
      <c r="A9" s="14">
        <v>7.7499999999999999E-2</v>
      </c>
      <c r="C9" s="15">
        <v>2600</v>
      </c>
      <c r="D9">
        <v>1000</v>
      </c>
      <c r="I9" s="28">
        <f>SUM(I2:I8)</f>
        <v>0</v>
      </c>
    </row>
    <row r="10" spans="1:15">
      <c r="C10">
        <v>1000</v>
      </c>
    </row>
    <row r="12" spans="1:15" ht="13">
      <c r="F12" s="27"/>
      <c r="H12" s="25" t="s">
        <v>30</v>
      </c>
      <c r="I12" s="23" t="str">
        <f>'umowa o pracę'!G31</f>
        <v/>
      </c>
      <c r="J12" s="29" t="e">
        <f>I12/$I$25</f>
        <v>#VALUE!</v>
      </c>
      <c r="K12" s="34">
        <v>1</v>
      </c>
      <c r="M12" s="25" t="s">
        <v>223</v>
      </c>
      <c r="N12" s="28" t="str">
        <f>I12</f>
        <v/>
      </c>
      <c r="O12" s="195" t="e">
        <f t="shared" ref="O12:O20" si="1">N12/SUM($N$12:$N$20)</f>
        <v>#VALUE!</v>
      </c>
    </row>
    <row r="13" spans="1:15" ht="13">
      <c r="F13" s="27"/>
      <c r="H13" s="25" t="s">
        <v>209</v>
      </c>
      <c r="I13" s="23" t="str">
        <f>'umowa o pracę'!I31</f>
        <v/>
      </c>
      <c r="J13" s="29" t="e">
        <f>I13/$I$25</f>
        <v>#VALUE!</v>
      </c>
      <c r="K13" s="29" t="e">
        <f>I13/$I$12</f>
        <v>#VALUE!</v>
      </c>
      <c r="M13" s="25" t="s">
        <v>204</v>
      </c>
      <c r="N13" s="28" t="e">
        <f>I13+I19</f>
        <v>#VALUE!</v>
      </c>
      <c r="O13" s="195" t="e">
        <f t="shared" si="1"/>
        <v>#VALUE!</v>
      </c>
    </row>
    <row r="14" spans="1:15">
      <c r="H14" s="25" t="s">
        <v>31</v>
      </c>
      <c r="I14" s="23" t="str">
        <f>'umowa o pracę'!N31</f>
        <v/>
      </c>
      <c r="J14" s="29" t="e">
        <f t="shared" ref="J14:J24" si="2">I14/$I$25</f>
        <v>#VALUE!</v>
      </c>
      <c r="K14" s="29" t="e">
        <f>I14/$I$12</f>
        <v>#VALUE!</v>
      </c>
      <c r="M14" s="25" t="s">
        <v>33</v>
      </c>
      <c r="N14" s="194" t="str">
        <f>I18</f>
        <v/>
      </c>
      <c r="O14" s="195" t="e">
        <f t="shared" si="1"/>
        <v>#VALUE!</v>
      </c>
    </row>
    <row r="15" spans="1:15">
      <c r="H15" s="25" t="s">
        <v>32</v>
      </c>
      <c r="I15" s="23" t="str">
        <f>'umowa o pracę'!L31</f>
        <v/>
      </c>
      <c r="J15" s="29" t="e">
        <f t="shared" si="2"/>
        <v>#VALUE!</v>
      </c>
      <c r="K15" s="29" t="e">
        <f t="shared" ref="K15:K24" si="3">I15/$I$12</f>
        <v>#VALUE!</v>
      </c>
      <c r="M15" s="25" t="s">
        <v>218</v>
      </c>
      <c r="N15" s="28" t="str">
        <f>I14</f>
        <v/>
      </c>
      <c r="O15" s="195" t="e">
        <f t="shared" si="1"/>
        <v>#VALUE!</v>
      </c>
    </row>
    <row r="16" spans="1:15">
      <c r="H16" s="25" t="s">
        <v>206</v>
      </c>
      <c r="I16" s="23" t="str">
        <f>'umowa o pracę'!K31</f>
        <v/>
      </c>
      <c r="J16" s="29" t="e">
        <f t="shared" si="2"/>
        <v>#VALUE!</v>
      </c>
      <c r="K16" s="29" t="e">
        <f t="shared" si="3"/>
        <v>#VALUE!</v>
      </c>
      <c r="M16" s="25" t="s">
        <v>32</v>
      </c>
      <c r="N16" s="28" t="str">
        <f>I15</f>
        <v/>
      </c>
      <c r="O16" s="195" t="e">
        <f t="shared" si="1"/>
        <v>#VALUE!</v>
      </c>
    </row>
    <row r="17" spans="8:15">
      <c r="H17" s="25" t="s">
        <v>205</v>
      </c>
      <c r="I17" s="23" t="str">
        <f>'umowa o pracę'!J31</f>
        <v/>
      </c>
      <c r="J17" s="29" t="e">
        <f t="shared" si="2"/>
        <v>#VALUE!</v>
      </c>
      <c r="K17" s="29" t="e">
        <f t="shared" si="3"/>
        <v>#VALUE!</v>
      </c>
      <c r="M17" s="25" t="s">
        <v>220</v>
      </c>
      <c r="N17" s="28" t="e">
        <f>I16+I21</f>
        <v>#VALUE!</v>
      </c>
      <c r="O17" s="195" t="e">
        <f t="shared" si="1"/>
        <v>#VALUE!</v>
      </c>
    </row>
    <row r="18" spans="8:15">
      <c r="H18" s="25" t="s">
        <v>33</v>
      </c>
      <c r="I18" s="26" t="str">
        <f>'umowa o pracę'!S31</f>
        <v/>
      </c>
      <c r="J18" s="29" t="e">
        <f t="shared" si="2"/>
        <v>#VALUE!</v>
      </c>
      <c r="K18" s="29" t="e">
        <f t="shared" si="3"/>
        <v>#VALUE!</v>
      </c>
      <c r="M18" s="25" t="s">
        <v>219</v>
      </c>
      <c r="N18" s="28" t="e">
        <f>I17+I20</f>
        <v>#VALUE!</v>
      </c>
      <c r="O18" s="195" t="e">
        <f t="shared" si="1"/>
        <v>#VALUE!</v>
      </c>
    </row>
    <row r="19" spans="8:15">
      <c r="H19" s="25" t="s">
        <v>210</v>
      </c>
      <c r="I19" s="26" t="str">
        <f>'umowa o pracę'!U31</f>
        <v/>
      </c>
      <c r="J19" s="29" t="e">
        <f t="shared" si="2"/>
        <v>#VALUE!</v>
      </c>
      <c r="K19" s="29" t="e">
        <f t="shared" si="3"/>
        <v>#VALUE!</v>
      </c>
      <c r="M19" s="25" t="s">
        <v>221</v>
      </c>
      <c r="N19" s="28" t="str">
        <f>I22</f>
        <v/>
      </c>
      <c r="O19" s="195" t="e">
        <f t="shared" si="1"/>
        <v>#VALUE!</v>
      </c>
    </row>
    <row r="20" spans="8:15">
      <c r="H20" s="25" t="s">
        <v>207</v>
      </c>
      <c r="I20" s="28" t="str">
        <f>'umowa o pracę'!V31</f>
        <v/>
      </c>
      <c r="J20" s="29" t="e">
        <f t="shared" si="2"/>
        <v>#VALUE!</v>
      </c>
      <c r="K20" s="29" t="e">
        <f t="shared" si="3"/>
        <v>#VALUE!</v>
      </c>
      <c r="M20" s="25" t="s">
        <v>222</v>
      </c>
      <c r="N20" s="28" t="e">
        <f>I23+I24</f>
        <v>#VALUE!</v>
      </c>
      <c r="O20" s="195" t="e">
        <f t="shared" si="1"/>
        <v>#VALUE!</v>
      </c>
    </row>
    <row r="21" spans="8:15">
      <c r="H21" s="25" t="s">
        <v>208</v>
      </c>
      <c r="I21" s="28" t="str">
        <f>'umowa o pracę'!W31</f>
        <v/>
      </c>
      <c r="J21" s="29" t="e">
        <f t="shared" si="2"/>
        <v>#VALUE!</v>
      </c>
      <c r="K21" s="29" t="e">
        <f t="shared" si="3"/>
        <v>#VALUE!</v>
      </c>
    </row>
    <row r="22" spans="8:15">
      <c r="H22" s="25" t="s">
        <v>38</v>
      </c>
      <c r="I22" s="28" t="str">
        <f>'umowa o pracę'!X31</f>
        <v/>
      </c>
      <c r="J22" s="29" t="e">
        <f t="shared" si="2"/>
        <v>#VALUE!</v>
      </c>
      <c r="K22" s="29" t="e">
        <f t="shared" si="3"/>
        <v>#VALUE!</v>
      </c>
    </row>
    <row r="23" spans="8:15">
      <c r="H23" s="25" t="s">
        <v>39</v>
      </c>
      <c r="I23" s="28" t="str">
        <f>'umowa o pracę'!Z31</f>
        <v/>
      </c>
      <c r="J23" s="29" t="e">
        <f t="shared" si="2"/>
        <v>#VALUE!</v>
      </c>
      <c r="K23" s="29" t="e">
        <f t="shared" si="3"/>
        <v>#VALUE!</v>
      </c>
      <c r="M23" s="25"/>
    </row>
    <row r="24" spans="8:15">
      <c r="H24" s="25" t="s">
        <v>40</v>
      </c>
      <c r="I24" s="28" t="str">
        <f>'umowa o pracę'!AA31</f>
        <v/>
      </c>
      <c r="J24" s="29" t="e">
        <f t="shared" si="2"/>
        <v>#VALUE!</v>
      </c>
      <c r="K24" s="29" t="e">
        <f t="shared" si="3"/>
        <v>#VALUE!</v>
      </c>
      <c r="M24" s="25"/>
    </row>
    <row r="25" spans="8:15">
      <c r="I25" s="28">
        <f>SUM(I12:I24)</f>
        <v>0</v>
      </c>
      <c r="J25" s="34" t="e">
        <f>SUM(J12:J24)</f>
        <v>#VALUE!</v>
      </c>
      <c r="K25" s="34" t="e">
        <f>SUM(K12:K24)</f>
        <v>#VALUE!</v>
      </c>
    </row>
  </sheetData>
  <sheetProtection selectLockedCells="1" selectUnlockedCells="1"/>
  <phoneticPr fontId="5" type="noConversion"/>
  <pageMargins left="0.75" right="0.75" top="1" bottom="1" header="0.5" footer="0.5"/>
  <pageSetup paperSize="9" orientation="portrait"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36</vt:i4>
      </vt:variant>
    </vt:vector>
  </HeadingPairs>
  <TitlesOfParts>
    <vt:vector size="42" baseType="lpstr">
      <vt:lpstr>umowa o pracę</vt:lpstr>
      <vt:lpstr>wykres</vt:lpstr>
      <vt:lpstr>wykresy</vt:lpstr>
      <vt:lpstr>umowa o pracę - netto</vt:lpstr>
      <vt:lpstr>stawki wypadkowe</vt:lpstr>
      <vt:lpstr>zmienne</vt:lpstr>
      <vt:lpstr>'umowa o pracę - netto'!brak_e_r</vt:lpstr>
      <vt:lpstr>brak_e_r</vt:lpstr>
      <vt:lpstr>brutto</vt:lpstr>
      <vt:lpstr>'umowa o pracę - netto'!chorob</vt:lpstr>
      <vt:lpstr>chorob</vt:lpstr>
      <vt:lpstr>'umowa o pracę - netto'!emeryt</vt:lpstr>
      <vt:lpstr>emeryt</vt:lpstr>
      <vt:lpstr>F_G_S_P</vt:lpstr>
      <vt:lpstr>F_P</vt:lpstr>
      <vt:lpstr>I_proc</vt:lpstr>
      <vt:lpstr>I_prog</vt:lpstr>
      <vt:lpstr>II_proc</vt:lpstr>
      <vt:lpstr>II_prog</vt:lpstr>
      <vt:lpstr>K_U_P</vt:lpstr>
      <vt:lpstr>'umowa o pracę - netto'!kwota_wolna</vt:lpstr>
      <vt:lpstr>kwota_wolna</vt:lpstr>
      <vt:lpstr>kwota_wolna2</vt:lpstr>
      <vt:lpstr>MWZP</vt:lpstr>
      <vt:lpstr>MWZPN</vt:lpstr>
      <vt:lpstr>'umowa o pracę - netto'!netto</vt:lpstr>
      <vt:lpstr>netto</vt:lpstr>
      <vt:lpstr>'umowa o pracę'!Obszar_wydruku</vt:lpstr>
      <vt:lpstr>'umowa o pracę - netto'!Obszar_wydruku</vt:lpstr>
      <vt:lpstr>old</vt:lpstr>
      <vt:lpstr>PPK_pracownik</vt:lpstr>
      <vt:lpstr>PPK_szef</vt:lpstr>
      <vt:lpstr>PPP</vt:lpstr>
      <vt:lpstr>PPS</vt:lpstr>
      <vt:lpstr>'umowa o pracę - netto'!rent</vt:lpstr>
      <vt:lpstr>rent</vt:lpstr>
      <vt:lpstr>rent2</vt:lpstr>
      <vt:lpstr>u_wypadk</vt:lpstr>
      <vt:lpstr>'umowa o pracę - netto'!zdrow</vt:lpstr>
      <vt:lpstr>zdrow</vt:lpstr>
      <vt:lpstr>zdrow_z_podatku</vt:lpstr>
      <vt:lpstr>zlecenie</vt:lpstr>
    </vt:vector>
  </TitlesOfParts>
  <Company>WSZIB w Krakowie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Kalkulator płac</dc:title>
  <dc:subject>Wyznaczanie wynagrodzenia netto oraz kosztu pracy pracownika</dc:subject>
  <dc:creator>Anna Grobel-Kijanka</dc:creator>
  <cp:lastModifiedBy>Anna Kijanka</cp:lastModifiedBy>
  <cp:lastPrinted>2019-10-22T07:39:24Z</cp:lastPrinted>
  <dcterms:created xsi:type="dcterms:W3CDTF">1999-10-21T16:26:32Z</dcterms:created>
  <dcterms:modified xsi:type="dcterms:W3CDTF">2020-03-27T08:26:57Z</dcterms:modified>
</cp:coreProperties>
</file>